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ustomProperty1.bin" ContentType="application/vnd.openxmlformats-officedocument.spreadsheetml.customProperty"/>
  <Override PartName="/xl/drawings/drawing2.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customProperty5.bin" ContentType="application/vnd.openxmlformats-officedocument.spreadsheetml.customProperty"/>
  <Override PartName="/xl/drawings/drawing4.xml" ContentType="application/vnd.openxmlformats-officedocument.drawing+xml"/>
  <Override PartName="/xl/comments2.xml" ContentType="application/vnd.openxmlformats-officedocument.spreadsheetml.comments+xml"/>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ustomProperty12.bin" ContentType="application/vnd.openxmlformats-officedocument.spreadsheetml.customProperty"/>
  <Override PartName="/xl/customProperty13.bin" ContentType="application/vnd.openxmlformats-officedocument.spreadsheetml.customProperty"/>
  <Override PartName="/xl/comments3.xml" ContentType="application/vnd.openxmlformats-officedocument.spreadsheetml.comments+xml"/>
  <Override PartName="/xl/customProperty14.bin" ContentType="application/vnd.openxmlformats-officedocument.spreadsheetml.customProperty"/>
  <Override PartName="/xl/drawings/drawing6.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ustomProperty15.bin" ContentType="application/vnd.openxmlformats-officedocument.spreadsheetml.customProperty"/>
  <Override PartName="/xl/customProperty16.bin" ContentType="application/vnd.openxmlformats-officedocument.spreadsheetml.customProperty"/>
  <Override PartName="/xl/drawings/drawing7.xml" ContentType="application/vnd.openxmlformats-officedocument.drawing+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5.xml" ContentType="application/vnd.openxmlformats-officedocument.spreadsheetml.comments+xml"/>
  <Override PartName="/xl/drawings/drawing12.xml" ContentType="application/vnd.openxmlformats-officedocument.drawing+xml"/>
  <Override PartName="/xl/comments6.xml" ContentType="application/vnd.openxmlformats-officedocument.spreadsheetml.comment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codeName="ThisWorkbook" defaultThemeVersion="124226"/>
  <mc:AlternateContent xmlns:mc="http://schemas.openxmlformats.org/markup-compatibility/2006">
    <mc:Choice Requires="x15">
      <x15ac:absPath xmlns:x15ac="http://schemas.microsoft.com/office/spreadsheetml/2010/11/ac" url="D:\Users\Kenny\Desktop\ACCA Manuals\"/>
    </mc:Choice>
  </mc:AlternateContent>
  <xr:revisionPtr revIDLastSave="0" documentId="8_{33C4EC31-BF11-45FD-BF81-AFEFA8BA3D4F}" xr6:coauthVersionLast="33" xr6:coauthVersionMax="33" xr10:uidLastSave="{00000000-0000-0000-0000-000000000000}"/>
  <bookViews>
    <workbookView xWindow="0" yWindow="0" windowWidth="28800" windowHeight="12210" tabRatio="771" firstSheet="3" activeTab="3" xr2:uid="{00000000-000D-0000-FFFF-FFFF00000000}"/>
  </bookViews>
  <sheets>
    <sheet name="KW" sheetId="37" state="hidden" r:id="rId1"/>
    <sheet name="Cities" sheetId="40" state="hidden" r:id="rId2"/>
    <sheet name="Wrk D" sheetId="14" state="hidden" r:id="rId3"/>
    <sheet name="Welcome" sheetId="55" r:id="rId4"/>
    <sheet name="Help" sheetId="54" r:id="rId5"/>
    <sheet name="Read Me" sheetId="53" state="hidden" r:id="rId6"/>
    <sheet name="Form N1" sheetId="4" r:id="rId7"/>
    <sheet name="Database" sheetId="38" r:id="rId8"/>
    <sheet name="Wrk A" sheetId="2" state="hidden" r:id="rId9"/>
    <sheet name="Wrk C" sheetId="11" state="hidden" r:id="rId10"/>
    <sheet name="GlassI" sheetId="41" r:id="rId11"/>
    <sheet name="Wrk B" sheetId="10" state="hidden" r:id="rId12"/>
    <sheet name="SkylightI" sheetId="42" r:id="rId13"/>
    <sheet name="DoorI" sheetId="43" r:id="rId14"/>
    <sheet name="WallI" sheetId="44" r:id="rId15"/>
    <sheet name="CeilingI" sheetId="45" r:id="rId16"/>
    <sheet name="FloorI" sheetId="46" r:id="rId17"/>
    <sheet name="InternalI" sheetId="47" r:id="rId18"/>
    <sheet name="DuctsI" sheetId="50" r:id="rId19"/>
    <sheet name="InfiltrationI" sheetId="48" r:id="rId20"/>
    <sheet name="DuctsT" sheetId="51" state="hidden" r:id="rId21"/>
    <sheet name="Wrk G" sheetId="21" state="hidden" r:id="rId22"/>
    <sheet name="VentilationI" sheetId="49" r:id="rId23"/>
    <sheet name="Notes" sheetId="52" r:id="rId24"/>
    <sheet name="Comments" sheetId="56" r:id="rId25"/>
    <sheet name="Wrk E" sheetId="22" state="hidden" r:id="rId26"/>
    <sheet name="Wrk F" sheetId="24" state="hidden" r:id="rId27"/>
    <sheet name="D2" sheetId="16" state="hidden" r:id="rId28"/>
    <sheet name="D3" sheetId="32" state="hidden" r:id="rId29"/>
    <sheet name="DAC-1" sheetId="17" state="hidden" r:id="rId30"/>
    <sheet name="DAC-2" sheetId="18" state="hidden" r:id="rId31"/>
    <sheet name="DAC-3" sheetId="31" state="hidden" r:id="rId32"/>
    <sheet name="RAP-1" sheetId="19" state="hidden" r:id="rId33"/>
    <sheet name="RAP-2" sheetId="20" state="hidden" r:id="rId34"/>
    <sheet name="RAP-3" sheetId="30" state="hidden" r:id="rId35"/>
    <sheet name="Tbl 7-AMB" sheetId="25" state="hidden" r:id="rId36"/>
    <sheet name=" Wrk H" sheetId="27" state="hidden" r:id="rId37"/>
    <sheet name=" Wrk I" sheetId="28" state="hidden" r:id="rId38"/>
  </sheets>
  <definedNames>
    <definedName name="_TR2">'Wrk F'!$AD$40:$AD$46</definedName>
    <definedName name="Activity">KW!$A$258:$A$278</definedName>
    <definedName name="Blower">KW!$A$281:$A$283</definedName>
    <definedName name="Ceilings_Data2">Database!$AD$49:$AD$57</definedName>
    <definedName name="Ceilings_Information">CeilingI!$C$4</definedName>
    <definedName name="CFM_Person">KW!$A$290:$A$292</definedName>
    <definedName name="city">Cities!$M$2:$M$75</definedName>
    <definedName name="Color_Adjust_Wall">KW!$A$164:$A$166</definedName>
    <definedName name="Construction_Weight">KW!$F$76:$F$79</definedName>
    <definedName name="Daily_Range">KW!$A$1:$A$3</definedName>
    <definedName name="Door_Traffic">'Wrk F'!$N$29:$N$37</definedName>
    <definedName name="Doors_Data2">Database!$AD$28:$AD$33</definedName>
    <definedName name="Doors_Information">DoorI!$C$5</definedName>
    <definedName name="Duct_Rvalue">DuctsT!$C$26:$C$29</definedName>
    <definedName name="Duct_Table">DuctsI!$AN$3:$AN$7</definedName>
    <definedName name="Duct_Temp_Clg">DuctsT!$U$4:$U$23</definedName>
    <definedName name="Duct_Temp_Htg">DuctsT!$B$4:$B$22</definedName>
    <definedName name="Ducts">DuctsI!$B$2</definedName>
    <definedName name="Exposure">KW!$A$235:$A$236</definedName>
    <definedName name="Floors_20A">Database!$AD$67:$AD$69</definedName>
    <definedName name="Floors_20B">Database!$AD$71:$AD$73</definedName>
    <definedName name="Floors_21">Database!$AD$75:$AD$77</definedName>
    <definedName name="Floors_22">Database!$AD$79:$AD$81</definedName>
    <definedName name="Floors_Data2">Database!$AD$61:$AD$81</definedName>
    <definedName name="Floors_Information">FloorI!$C$4</definedName>
    <definedName name="Frame_Construction">KW!$A$58:$A$61</definedName>
    <definedName name="Glass_Adj">KW!$D$109:$D$112</definedName>
    <definedName name="Glass_Data">Database!$B$2</definedName>
    <definedName name="Glass_Data_2">Database!$AD$4:$AD$15</definedName>
    <definedName name="Glass_Direction">KW!$A$65:$A$73</definedName>
    <definedName name="Glass_Information">GlassI!$C$5</definedName>
    <definedName name="Group_20B">KW!$A$225:$A$231</definedName>
    <definedName name="Hour_of_Day">KW!$A$49:$A$52</definedName>
    <definedName name="Infiltration_Information">InfiltrationI!$B$4</definedName>
    <definedName name="ISC">KW!$L$108:$L$109</definedName>
    <definedName name="Leakage_Rate">DuctsT!$Q$33:$Q$37</definedName>
    <definedName name="Load_Type">KW!$A$5:$A$7</definedName>
    <definedName name="N1_Blower">'Form N1'!$B$54</definedName>
    <definedName name="N1_Ceilings">'Form N1'!$B$36</definedName>
    <definedName name="N1_Doors">'Form N1'!$B$23</definedName>
    <definedName name="N1_Ducts">'Form N1'!$B$51</definedName>
    <definedName name="N1_Floors">'Form N1'!$B$39</definedName>
    <definedName name="N1_Glass">'Form N1'!$B$10</definedName>
    <definedName name="N1_Infiltration">'Form N1'!$B$50</definedName>
    <definedName name="N1_Internal">'Form N1'!$B$45</definedName>
    <definedName name="N1_Skylights">'Form N1'!$B$18</definedName>
    <definedName name="N1_Ventilation">'Form N1'!$B$53</definedName>
    <definedName name="N1_Walls">'Form N1'!$B$26</definedName>
    <definedName name="OH_Door">'Wrk F'!$N$41:$N$45</definedName>
    <definedName name="Overhang_Adj">GlassI!$AX$14:$AX$15</definedName>
    <definedName name="Plants">'Wrk E'!$L$124:$L$126</definedName>
    <definedName name="_xlnm.Print_Area" localSheetId="36">' Wrk H'!$B$2:$M$34</definedName>
    <definedName name="_xlnm.Print_Area" localSheetId="37">' Wrk I'!$C$2:$N$25</definedName>
    <definedName name="_xlnm.Print_Area" localSheetId="6">'Form N1'!$B$2:$P$55</definedName>
    <definedName name="_xlnm.Print_Area" localSheetId="3">Welcome!$A$1:$L$31</definedName>
    <definedName name="_xlnm.Print_Area" localSheetId="9">'Wrk C'!$B$2:$Q$59</definedName>
    <definedName name="RH">KW!$A$54:$A$56</definedName>
    <definedName name="RPM">'Wrk F'!$W$20:$W$24</definedName>
    <definedName name="Skylight_Information">SkylightI!$C$6</definedName>
    <definedName name="Skylights_Data2">Database!$AD$19:$AD$24</definedName>
    <definedName name="state">Cities!$L$1:$L$51</definedName>
    <definedName name="Story">KW!$D$235:$D$236</definedName>
    <definedName name="Sun_Screen">KW!$H$110:$H$129</definedName>
    <definedName name="Tightness">KW!$J$235:$J$239</definedName>
    <definedName name="TR">'Wrk F'!$O$20:$O$26</definedName>
    <definedName name="Ventilation">KW!$A$286:$A$288</definedName>
    <definedName name="Ventilation_Information">VentilationI!$B$2</definedName>
    <definedName name="Walls_Data2">Database!$AD$37:$AD$45</definedName>
    <definedName name="Walls_Information">WallI!$C$5</definedName>
  </definedNames>
  <calcPr calcId="179017"/>
</workbook>
</file>

<file path=xl/calcChain.xml><?xml version="1.0" encoding="utf-8"?>
<calcChain xmlns="http://schemas.openxmlformats.org/spreadsheetml/2006/main">
  <c r="S11" i="47" l="1"/>
  <c r="I21" i="22" s="1"/>
  <c r="Q11" i="47"/>
  <c r="H21" i="22" s="1"/>
  <c r="S27" i="47"/>
  <c r="S28" i="47"/>
  <c r="S29" i="47"/>
  <c r="S26" i="47"/>
  <c r="Q27" i="47"/>
  <c r="Q28" i="47"/>
  <c r="Q29" i="47"/>
  <c r="Q26" i="47"/>
  <c r="D14" i="10"/>
  <c r="C11" i="2"/>
  <c r="D25" i="2" s="1"/>
  <c r="A2" i="40"/>
  <c r="B2" i="40" s="1"/>
  <c r="J6" i="4" s="1"/>
  <c r="AZ5" i="41"/>
  <c r="G14" i="10" s="1"/>
  <c r="G29" i="10" s="1"/>
  <c r="AX5" i="41"/>
  <c r="M10" i="4" s="1"/>
  <c r="S14" i="10"/>
  <c r="J51" i="10"/>
  <c r="D67" i="10" s="1"/>
  <c r="F14" i="10"/>
  <c r="C67" i="10" s="1"/>
  <c r="K51" i="10"/>
  <c r="G67" i="10" s="1"/>
  <c r="L51" i="10"/>
  <c r="I67" i="10" s="1"/>
  <c r="M51" i="10"/>
  <c r="K67" i="10" s="1"/>
  <c r="B109" i="37"/>
  <c r="D83" i="37"/>
  <c r="D89" i="37" s="1"/>
  <c r="J29" i="10"/>
  <c r="C49" i="37"/>
  <c r="L16" i="2" s="1"/>
  <c r="E20" i="2" s="1"/>
  <c r="G11" i="2"/>
  <c r="I7" i="14" s="1"/>
  <c r="T6" i="14" s="1"/>
  <c r="N14" i="10"/>
  <c r="N29" i="10" s="1"/>
  <c r="D15" i="10"/>
  <c r="AZ6" i="41"/>
  <c r="G15" i="10" s="1"/>
  <c r="AX6" i="41"/>
  <c r="M11" i="4" s="1"/>
  <c r="S15" i="10"/>
  <c r="BI6" i="41"/>
  <c r="J15" i="10" s="1"/>
  <c r="BC6" i="41"/>
  <c r="H15" i="10" s="1"/>
  <c r="D16" i="10"/>
  <c r="M16" i="10" s="1"/>
  <c r="Q16" i="10" s="1"/>
  <c r="L16" i="10"/>
  <c r="K12" i="4" s="1"/>
  <c r="N12" i="4" s="1"/>
  <c r="O12" i="4" s="1"/>
  <c r="AZ7" i="41"/>
  <c r="G16" i="10" s="1"/>
  <c r="G31" i="10" s="1"/>
  <c r="AX7" i="41"/>
  <c r="M12" i="4" s="1"/>
  <c r="S16" i="10"/>
  <c r="BF7" i="41"/>
  <c r="I16" i="10" s="1"/>
  <c r="BI7" i="41"/>
  <c r="J16" i="10" s="1"/>
  <c r="BC7" i="41"/>
  <c r="H16" i="10" s="1"/>
  <c r="H31" i="10" s="1"/>
  <c r="K16" i="10"/>
  <c r="D17" i="10"/>
  <c r="M17" i="10" s="1"/>
  <c r="Q17" i="10" s="1"/>
  <c r="AZ8" i="41"/>
  <c r="G17" i="10" s="1"/>
  <c r="G32" i="10" s="1"/>
  <c r="AX8" i="41"/>
  <c r="M13" i="4" s="1"/>
  <c r="S17" i="10"/>
  <c r="J54" i="10"/>
  <c r="D70" i="10" s="1"/>
  <c r="F17" i="10"/>
  <c r="J13" i="4" s="1"/>
  <c r="K54" i="10"/>
  <c r="G70" i="10" s="1"/>
  <c r="L54" i="10"/>
  <c r="I70" i="10" s="1"/>
  <c r="M54" i="10"/>
  <c r="K70" i="10" s="1"/>
  <c r="I32" i="10"/>
  <c r="J32" i="10"/>
  <c r="BC8" i="41"/>
  <c r="H17" i="10" s="1"/>
  <c r="H32" i="10" s="1"/>
  <c r="K17" i="10"/>
  <c r="K32" i="10" s="1"/>
  <c r="N17" i="10"/>
  <c r="N32" i="10" s="1"/>
  <c r="BF8" i="41"/>
  <c r="I17" i="10" s="1"/>
  <c r="BI8" i="41"/>
  <c r="J17" i="10" s="1"/>
  <c r="D18" i="10"/>
  <c r="AZ9" i="41"/>
  <c r="G18" i="10" s="1"/>
  <c r="G33" i="10" s="1"/>
  <c r="AX9" i="41"/>
  <c r="M14" i="4" s="1"/>
  <c r="S18" i="10"/>
  <c r="J55" i="10"/>
  <c r="D71" i="10" s="1"/>
  <c r="F18" i="10"/>
  <c r="C71" i="10" s="1"/>
  <c r="E71" i="10" s="1"/>
  <c r="K55" i="10"/>
  <c r="G71" i="10" s="1"/>
  <c r="L55" i="10"/>
  <c r="I71" i="10" s="1"/>
  <c r="M55" i="10"/>
  <c r="K71" i="10" s="1"/>
  <c r="I33" i="10"/>
  <c r="J33" i="10"/>
  <c r="BC9" i="41"/>
  <c r="H18" i="10" s="1"/>
  <c r="H33" i="10" s="1"/>
  <c r="K18" i="10"/>
  <c r="K33" i="10" s="1"/>
  <c r="N18" i="10"/>
  <c r="N33" i="10" s="1"/>
  <c r="BF9" i="41"/>
  <c r="I18" i="10" s="1"/>
  <c r="BI9" i="41"/>
  <c r="J18" i="10" s="1"/>
  <c r="D19" i="10"/>
  <c r="O19" i="10" s="1"/>
  <c r="D20" i="10"/>
  <c r="L20" i="10" s="1"/>
  <c r="K16" i="4" s="1"/>
  <c r="N16" i="4" s="1"/>
  <c r="O16" i="4" s="1"/>
  <c r="D21" i="10"/>
  <c r="E14" i="11"/>
  <c r="AS6" i="42"/>
  <c r="P14" i="11" s="1"/>
  <c r="BK6" i="42"/>
  <c r="E28" i="11" s="1"/>
  <c r="H14" i="11"/>
  <c r="I14" i="11"/>
  <c r="G14" i="11"/>
  <c r="BN6" i="42"/>
  <c r="F28" i="11" s="1"/>
  <c r="M14" i="11"/>
  <c r="D47" i="11"/>
  <c r="BE6" i="42"/>
  <c r="F47" i="11" s="1"/>
  <c r="BH6" i="42"/>
  <c r="G47" i="11" s="1"/>
  <c r="AY6" i="42"/>
  <c r="J47" i="11" s="1"/>
  <c r="BB6" i="42"/>
  <c r="K47" i="11" s="1"/>
  <c r="AV6" i="42"/>
  <c r="O14" i="11" s="1"/>
  <c r="E15" i="11"/>
  <c r="AS7" i="42"/>
  <c r="P15" i="11" s="1"/>
  <c r="BK7" i="42"/>
  <c r="E29" i="11" s="1"/>
  <c r="H15" i="11"/>
  <c r="H29" i="11" s="1"/>
  <c r="M19" i="4" s="1"/>
  <c r="I15" i="11"/>
  <c r="G15" i="11"/>
  <c r="BN7" i="42"/>
  <c r="F29" i="11" s="1"/>
  <c r="M15" i="11"/>
  <c r="D48" i="11"/>
  <c r="BE7" i="42"/>
  <c r="F48" i="11" s="1"/>
  <c r="BH7" i="42"/>
  <c r="G48" i="11" s="1"/>
  <c r="AY7" i="42"/>
  <c r="J48" i="11" s="1"/>
  <c r="BB7" i="42"/>
  <c r="K48" i="11" s="1"/>
  <c r="AV7" i="42"/>
  <c r="O15" i="11" s="1"/>
  <c r="Q48" i="11"/>
  <c r="L19" i="4" s="1"/>
  <c r="E16" i="11"/>
  <c r="D20" i="4" s="1"/>
  <c r="E17" i="11"/>
  <c r="P50" i="11" s="1"/>
  <c r="K21" i="4" s="1"/>
  <c r="N21" i="4" s="1"/>
  <c r="O21" i="4" s="1"/>
  <c r="E18" i="11"/>
  <c r="P51" i="11"/>
  <c r="K22" i="4" s="1"/>
  <c r="N22" i="4" s="1"/>
  <c r="O22" i="4" s="1"/>
  <c r="C14" i="14"/>
  <c r="F14" i="14"/>
  <c r="G14" i="14" s="1"/>
  <c r="M23" i="4" s="1"/>
  <c r="C16" i="14"/>
  <c r="C15" i="14"/>
  <c r="O15" i="14" s="1"/>
  <c r="K24" i="4" s="1"/>
  <c r="AF6" i="43"/>
  <c r="K15" i="14" s="1"/>
  <c r="F15" i="14"/>
  <c r="G15" i="14" s="1"/>
  <c r="M24" i="4" s="1"/>
  <c r="U15" i="14"/>
  <c r="P15" i="14"/>
  <c r="F16" i="14"/>
  <c r="G16" i="14" s="1"/>
  <c r="M25" i="4" s="1"/>
  <c r="C18" i="14"/>
  <c r="D26" i="4" s="1"/>
  <c r="B152" i="37"/>
  <c r="AO41" i="38" s="1"/>
  <c r="E18" i="14"/>
  <c r="G18" i="14" s="1"/>
  <c r="I18" i="14" s="1"/>
  <c r="M26" i="4" s="1"/>
  <c r="C19" i="14"/>
  <c r="AF6" i="44"/>
  <c r="K19" i="14" s="1"/>
  <c r="E19" i="14"/>
  <c r="G19" i="14" s="1"/>
  <c r="I19" i="14" s="1"/>
  <c r="M27" i="4" s="1"/>
  <c r="C20" i="14"/>
  <c r="AF7" i="44"/>
  <c r="K20" i="14" s="1"/>
  <c r="E20" i="14"/>
  <c r="G20" i="14" s="1"/>
  <c r="I20" i="14" s="1"/>
  <c r="M28" i="4" s="1"/>
  <c r="C21" i="14"/>
  <c r="U21" i="14" s="1"/>
  <c r="AF8" i="44"/>
  <c r="K21" i="14" s="1"/>
  <c r="AK8" i="44"/>
  <c r="AI8" i="44" s="1"/>
  <c r="S21" i="14" s="1"/>
  <c r="E21" i="14"/>
  <c r="G21" i="14" s="1"/>
  <c r="I21" i="14" s="1"/>
  <c r="M29" i="4" s="1"/>
  <c r="C22" i="14"/>
  <c r="P22" i="14"/>
  <c r="C23" i="14"/>
  <c r="O23" i="14" s="1"/>
  <c r="K31" i="4" s="1"/>
  <c r="N31" i="4" s="1"/>
  <c r="C24" i="14"/>
  <c r="P24" i="14" s="1"/>
  <c r="C25" i="14"/>
  <c r="P25" i="14" s="1"/>
  <c r="C29" i="14"/>
  <c r="C26" i="14" s="1"/>
  <c r="D34" i="4" s="1"/>
  <c r="AF16" i="44"/>
  <c r="K29" i="14" s="1"/>
  <c r="K26" i="14" s="1"/>
  <c r="N29" i="14"/>
  <c r="N26" i="14" s="1"/>
  <c r="G29" i="14"/>
  <c r="I29" i="14" s="1"/>
  <c r="M34" i="4" s="1"/>
  <c r="C30" i="14"/>
  <c r="C27" i="14" s="1"/>
  <c r="C43" i="14"/>
  <c r="D36" i="4" s="1"/>
  <c r="A183" i="37"/>
  <c r="AO71" i="38" s="1"/>
  <c r="AK4" i="45"/>
  <c r="E43" i="14"/>
  <c r="G43" i="14" s="1"/>
  <c r="I43" i="14" s="1"/>
  <c r="M36" i="4" s="1"/>
  <c r="C44" i="14"/>
  <c r="P44" i="14" s="1"/>
  <c r="AC5" i="45"/>
  <c r="K44" i="14" s="1"/>
  <c r="AH5" i="45"/>
  <c r="AF5" i="45"/>
  <c r="S44" i="14" s="1"/>
  <c r="AN5" i="45"/>
  <c r="Z44" i="14" s="1"/>
  <c r="V44" i="14" s="1"/>
  <c r="AK5" i="45"/>
  <c r="U44" i="14" s="1"/>
  <c r="E44" i="14"/>
  <c r="G44" i="14" s="1"/>
  <c r="I44" i="14" s="1"/>
  <c r="M37" i="4" s="1"/>
  <c r="C45" i="14"/>
  <c r="P45" i="14" s="1"/>
  <c r="E45" i="14"/>
  <c r="G45" i="14"/>
  <c r="I45" i="14" s="1"/>
  <c r="M38" i="4" s="1"/>
  <c r="C54" i="14"/>
  <c r="P54" i="14"/>
  <c r="F54" i="14"/>
  <c r="G54" i="14" s="1"/>
  <c r="J54" i="14" s="1"/>
  <c r="M39" i="4" s="1"/>
  <c r="C55" i="14"/>
  <c r="P55" i="14" s="1"/>
  <c r="F55" i="14"/>
  <c r="P78" i="14" s="1"/>
  <c r="M78" i="14" s="1"/>
  <c r="C56" i="14"/>
  <c r="O56" i="14" s="1"/>
  <c r="K41" i="4" s="1"/>
  <c r="F56" i="14"/>
  <c r="G56" i="14" s="1"/>
  <c r="J56" i="14" s="1"/>
  <c r="M41" i="4" s="1"/>
  <c r="C57" i="14"/>
  <c r="P57" i="14" s="1"/>
  <c r="F57" i="14"/>
  <c r="G57" i="14" s="1"/>
  <c r="J57" i="14" s="1"/>
  <c r="M42" i="4" s="1"/>
  <c r="C58" i="14"/>
  <c r="P58" i="14" s="1"/>
  <c r="F58" i="14"/>
  <c r="G58" i="14" s="1"/>
  <c r="J58" i="14" s="1"/>
  <c r="M43" i="4" s="1"/>
  <c r="C59" i="14"/>
  <c r="D44" i="4" s="1"/>
  <c r="S59" i="14"/>
  <c r="I59" i="14"/>
  <c r="J59" i="14" s="1"/>
  <c r="M44" i="4" s="1"/>
  <c r="F9" i="22"/>
  <c r="G9" i="22"/>
  <c r="H9" i="22"/>
  <c r="F10" i="22"/>
  <c r="G10" i="22"/>
  <c r="H10" i="22"/>
  <c r="F11" i="22"/>
  <c r="G11" i="22"/>
  <c r="H11" i="22"/>
  <c r="F12" i="22"/>
  <c r="G12" i="22"/>
  <c r="H12" i="22"/>
  <c r="G21" i="22"/>
  <c r="J21" i="22"/>
  <c r="G22" i="22"/>
  <c r="J22" i="22"/>
  <c r="Q12" i="47"/>
  <c r="H22" i="22" s="1"/>
  <c r="G23" i="22"/>
  <c r="O23" i="22" s="1"/>
  <c r="J23" i="22"/>
  <c r="Q13" i="47"/>
  <c r="H23" i="22" s="1"/>
  <c r="G24" i="22"/>
  <c r="Q18" i="47"/>
  <c r="Q19" i="47"/>
  <c r="Q20" i="47"/>
  <c r="Q21" i="47"/>
  <c r="L87" i="14"/>
  <c r="F15" i="24" s="1"/>
  <c r="A240" i="37"/>
  <c r="C235" i="37"/>
  <c r="F235" i="37"/>
  <c r="T20" i="24"/>
  <c r="U20" i="24"/>
  <c r="E29" i="24" s="1"/>
  <c r="T21" i="24"/>
  <c r="U21" i="24"/>
  <c r="E30" i="24" s="1"/>
  <c r="T22" i="24"/>
  <c r="U22" i="24"/>
  <c r="E31" i="24" s="1"/>
  <c r="U23" i="24"/>
  <c r="E32" i="24" s="1"/>
  <c r="U24" i="24"/>
  <c r="E33" i="24" s="1"/>
  <c r="AH40" i="24"/>
  <c r="AJ40" i="24"/>
  <c r="AK40" i="24"/>
  <c r="AM40" i="24"/>
  <c r="L29" i="24" s="1"/>
  <c r="AM41" i="24"/>
  <c r="L30" i="24" s="1"/>
  <c r="AM42" i="24"/>
  <c r="L31" i="24" s="1"/>
  <c r="AM43" i="24"/>
  <c r="L32" i="24" s="1"/>
  <c r="AM44" i="24"/>
  <c r="L33" i="24" s="1"/>
  <c r="L6" i="21"/>
  <c r="F11" i="21" s="1"/>
  <c r="K11" i="21"/>
  <c r="U24" i="51" s="1"/>
  <c r="T32" i="51"/>
  <c r="S39" i="47"/>
  <c r="H4" i="27"/>
  <c r="S4" i="27" s="1"/>
  <c r="U15" i="27"/>
  <c r="U16" i="27"/>
  <c r="U17" i="27" s="1"/>
  <c r="U20" i="27"/>
  <c r="U21" i="27"/>
  <c r="U22" i="27"/>
  <c r="U23" i="27"/>
  <c r="U24" i="27"/>
  <c r="U25" i="27"/>
  <c r="U26" i="27"/>
  <c r="U27" i="27"/>
  <c r="U28" i="27"/>
  <c r="U29" i="27"/>
  <c r="U30" i="27"/>
  <c r="U31" i="27"/>
  <c r="U34" i="27"/>
  <c r="S46" i="27"/>
  <c r="S47" i="27"/>
  <c r="S49" i="27" s="1"/>
  <c r="H5" i="2"/>
  <c r="F4" i="27" s="1"/>
  <c r="Q4" i="27" s="1"/>
  <c r="K16" i="2"/>
  <c r="J4" i="18" s="1"/>
  <c r="J24" i="22"/>
  <c r="C21" i="22"/>
  <c r="P7" i="27" s="1"/>
  <c r="C22" i="22"/>
  <c r="P8" i="27" s="1"/>
  <c r="C23" i="22"/>
  <c r="P9" i="27" s="1"/>
  <c r="C24" i="22"/>
  <c r="P10" i="27" s="1"/>
  <c r="K87" i="14"/>
  <c r="F14" i="24" s="1"/>
  <c r="E8" i="49"/>
  <c r="I4" i="28"/>
  <c r="D11" i="28"/>
  <c r="H11" i="28"/>
  <c r="I11" i="28"/>
  <c r="K20" i="28"/>
  <c r="N20" i="28" s="1"/>
  <c r="K21" i="28"/>
  <c r="N21" i="28" s="1"/>
  <c r="K24" i="28"/>
  <c r="N24" i="28" s="1"/>
  <c r="K25" i="28"/>
  <c r="N25" i="28" s="1"/>
  <c r="Q39" i="28"/>
  <c r="R39" i="28"/>
  <c r="S39" i="28"/>
  <c r="J50" i="28"/>
  <c r="K50" i="28" s="1"/>
  <c r="N50" i="28" s="1"/>
  <c r="J51" i="28"/>
  <c r="K51" i="28" s="1"/>
  <c r="N51" i="28" s="1"/>
  <c r="J52" i="28"/>
  <c r="K52" i="28" s="1"/>
  <c r="N52" i="28"/>
  <c r="J54" i="28"/>
  <c r="K54" i="28" s="1"/>
  <c r="N54" i="28" s="1"/>
  <c r="J55" i="28"/>
  <c r="K55" i="28" s="1"/>
  <c r="N55" i="28" s="1"/>
  <c r="J57" i="28"/>
  <c r="K57" i="28" s="1"/>
  <c r="N57" i="28" s="1"/>
  <c r="J58" i="28"/>
  <c r="K58" i="28" s="1"/>
  <c r="N58" i="28" s="1"/>
  <c r="J60" i="28"/>
  <c r="K60" i="28" s="1"/>
  <c r="N60" i="28" s="1"/>
  <c r="J61" i="28"/>
  <c r="K61" i="28" s="1"/>
  <c r="N61" i="28" s="1"/>
  <c r="J63" i="28"/>
  <c r="K63" i="28" s="1"/>
  <c r="N63" i="28" s="1"/>
  <c r="J64" i="28"/>
  <c r="K64" i="28" s="1"/>
  <c r="N64" i="28" s="1"/>
  <c r="J66" i="28"/>
  <c r="K66" i="28" s="1"/>
  <c r="N66" i="28" s="1"/>
  <c r="J67" i="28"/>
  <c r="K67" i="28" s="1"/>
  <c r="N67" i="28" s="1"/>
  <c r="H47" i="24"/>
  <c r="A245" i="37"/>
  <c r="A244" i="37"/>
  <c r="Q20" i="24"/>
  <c r="R20" i="24"/>
  <c r="D29" i="24" s="1"/>
  <c r="Q21" i="24"/>
  <c r="R21" i="24"/>
  <c r="D30" i="24"/>
  <c r="Q22" i="24"/>
  <c r="R22" i="24"/>
  <c r="R23" i="24"/>
  <c r="D32" i="24" s="1"/>
  <c r="R24" i="24"/>
  <c r="D33" i="24" s="1"/>
  <c r="AF40" i="24"/>
  <c r="AI40" i="24"/>
  <c r="AL40" i="24"/>
  <c r="K29" i="24" s="1"/>
  <c r="AL41" i="24"/>
  <c r="AL42" i="24"/>
  <c r="K31" i="24" s="1"/>
  <c r="AL43" i="24"/>
  <c r="K32" i="24" s="1"/>
  <c r="AL44" i="24"/>
  <c r="K33" i="24" s="1"/>
  <c r="AD4" i="38"/>
  <c r="BC5" i="41" s="1"/>
  <c r="H14" i="10" s="1"/>
  <c r="H29" i="10" s="1"/>
  <c r="AD5" i="38"/>
  <c r="AD6" i="38"/>
  <c r="AD7" i="38"/>
  <c r="AD8" i="38"/>
  <c r="S97" i="37"/>
  <c r="L97" i="37"/>
  <c r="O97" i="37"/>
  <c r="Q97" i="37"/>
  <c r="R97" i="37"/>
  <c r="Y97" i="37"/>
  <c r="V97" i="37"/>
  <c r="W97" i="37"/>
  <c r="K29" i="10"/>
  <c r="AD9" i="38"/>
  <c r="AD19" i="38"/>
  <c r="AD28" i="38"/>
  <c r="AF5" i="43" s="1"/>
  <c r="K14" i="14" s="1"/>
  <c r="AD29" i="38"/>
  <c r="AD37" i="38"/>
  <c r="AF5" i="44" s="1"/>
  <c r="K18" i="14" s="1"/>
  <c r="AD38" i="38"/>
  <c r="AD39" i="38"/>
  <c r="AD40" i="38"/>
  <c r="AD41" i="38"/>
  <c r="AD42" i="38"/>
  <c r="AD49" i="38"/>
  <c r="AC4" i="45" s="1"/>
  <c r="K43" i="14" s="1"/>
  <c r="AD50" i="38"/>
  <c r="AD51" i="38"/>
  <c r="AD52" i="38"/>
  <c r="AD53" i="38"/>
  <c r="AO53" i="38"/>
  <c r="AQ53" i="38"/>
  <c r="AO49" i="38"/>
  <c r="AQ49" i="38"/>
  <c r="AD61" i="38"/>
  <c r="AB13" i="46" s="1"/>
  <c r="K59" i="14" s="1"/>
  <c r="AD62" i="38"/>
  <c r="AD64" i="38"/>
  <c r="AD65" i="38"/>
  <c r="AD67" i="38"/>
  <c r="AD69" i="38"/>
  <c r="AD71" i="38"/>
  <c r="AD72" i="38"/>
  <c r="AD73" i="38"/>
  <c r="AD75" i="38"/>
  <c r="AD76" i="38"/>
  <c r="AD77" i="38"/>
  <c r="AD79" i="38"/>
  <c r="AD80" i="38"/>
  <c r="V59" i="14"/>
  <c r="X59" i="14" s="1"/>
  <c r="R59" i="14" s="1"/>
  <c r="N59" i="14" s="1"/>
  <c r="H48" i="24"/>
  <c r="AN5" i="50"/>
  <c r="AP3" i="50" s="1"/>
  <c r="A1" i="51" s="1"/>
  <c r="AN6" i="50"/>
  <c r="AN7" i="50"/>
  <c r="S35" i="51"/>
  <c r="T33" i="51" s="1"/>
  <c r="S12" i="47"/>
  <c r="I22" i="22" s="1"/>
  <c r="S13" i="47"/>
  <c r="I23" i="22" s="1"/>
  <c r="N124" i="22"/>
  <c r="O124" i="22" s="1"/>
  <c r="N125" i="22"/>
  <c r="O125" i="22" s="1"/>
  <c r="N126" i="22"/>
  <c r="O126" i="22" s="1"/>
  <c r="S18" i="47"/>
  <c r="S19" i="47"/>
  <c r="S20" i="47"/>
  <c r="S21" i="47"/>
  <c r="O113" i="22"/>
  <c r="O114" i="22"/>
  <c r="O115" i="22"/>
  <c r="O116" i="22"/>
  <c r="M135" i="22"/>
  <c r="O135" i="22" s="1"/>
  <c r="M136" i="22"/>
  <c r="O136" i="22" s="1"/>
  <c r="N136" i="22" s="1"/>
  <c r="M137" i="22"/>
  <c r="O137" i="22" s="1"/>
  <c r="N137" i="22" s="1"/>
  <c r="M138" i="22"/>
  <c r="O138" i="22" s="1"/>
  <c r="N138" i="22" s="1"/>
  <c r="AC6" i="45"/>
  <c r="K45" i="14" s="1"/>
  <c r="AF6" i="45"/>
  <c r="S45" i="14" s="1"/>
  <c r="AH6" i="45"/>
  <c r="AK6" i="45"/>
  <c r="AN6" i="45"/>
  <c r="M1" i="40"/>
  <c r="N1" i="40"/>
  <c r="O1" i="40"/>
  <c r="P1" i="40"/>
  <c r="Q1" i="40"/>
  <c r="R1" i="40"/>
  <c r="S1" i="40"/>
  <c r="T1" i="40"/>
  <c r="U1" i="40"/>
  <c r="V1" i="40"/>
  <c r="W1" i="40"/>
  <c r="X1" i="40"/>
  <c r="Y1" i="40"/>
  <c r="Z1" i="40"/>
  <c r="AA1" i="40"/>
  <c r="AB1" i="40"/>
  <c r="AC1" i="40"/>
  <c r="AD1" i="40"/>
  <c r="AE1" i="40"/>
  <c r="AF1" i="40"/>
  <c r="AG1" i="40"/>
  <c r="AH1" i="40"/>
  <c r="AI1" i="40"/>
  <c r="AJ1" i="40"/>
  <c r="AK1" i="40"/>
  <c r="AL1" i="40"/>
  <c r="AM1" i="40"/>
  <c r="AN1" i="40"/>
  <c r="AO1" i="40"/>
  <c r="AP1" i="40"/>
  <c r="AQ1" i="40"/>
  <c r="AR1" i="40"/>
  <c r="AS1" i="40"/>
  <c r="AT1" i="40"/>
  <c r="AU1" i="40"/>
  <c r="AV1" i="40"/>
  <c r="AW1" i="40"/>
  <c r="AX1" i="40"/>
  <c r="AY1" i="40"/>
  <c r="AZ1" i="40"/>
  <c r="BA1" i="40"/>
  <c r="BB1" i="40"/>
  <c r="BC1" i="40"/>
  <c r="BD1" i="40"/>
  <c r="BE1" i="40"/>
  <c r="BF1" i="40"/>
  <c r="BG1" i="40"/>
  <c r="BH1" i="40"/>
  <c r="BI1" i="40"/>
  <c r="BJ1" i="40"/>
  <c r="BK1" i="40"/>
  <c r="BL1" i="40"/>
  <c r="H5" i="16"/>
  <c r="B9" i="16"/>
  <c r="C9" i="16"/>
  <c r="D9" i="16"/>
  <c r="E9" i="16"/>
  <c r="G9" i="16"/>
  <c r="G36" i="16" s="1"/>
  <c r="K24" i="16"/>
  <c r="J36" i="16"/>
  <c r="H4" i="32"/>
  <c r="M9" i="32"/>
  <c r="E19" i="32" s="1"/>
  <c r="M10" i="32"/>
  <c r="D19" i="32" s="1"/>
  <c r="M11" i="32"/>
  <c r="D20" i="32" s="1"/>
  <c r="C19" i="32"/>
  <c r="C20" i="32"/>
  <c r="B8" i="17"/>
  <c r="B8" i="19" s="1"/>
  <c r="H4" i="17"/>
  <c r="K8" i="17"/>
  <c r="F25" i="17"/>
  <c r="L34" i="17"/>
  <c r="E45" i="17"/>
  <c r="B45" i="17"/>
  <c r="L54" i="17"/>
  <c r="H4" i="18"/>
  <c r="B8" i="18"/>
  <c r="H8" i="18"/>
  <c r="F22" i="18" s="1"/>
  <c r="O12" i="18"/>
  <c r="I31" i="18"/>
  <c r="E24" i="25" s="1"/>
  <c r="J19" i="31"/>
  <c r="C19" i="31"/>
  <c r="C20" i="31"/>
  <c r="D19" i="31"/>
  <c r="D20" i="31"/>
  <c r="E19" i="31"/>
  <c r="H4" i="31"/>
  <c r="S5" i="31"/>
  <c r="S6" i="31"/>
  <c r="K19" i="31"/>
  <c r="L19" i="31"/>
  <c r="K20" i="31"/>
  <c r="D30" i="31"/>
  <c r="E30" i="31"/>
  <c r="D31" i="31"/>
  <c r="AD10" i="38"/>
  <c r="AO10" i="38"/>
  <c r="AR10" i="38"/>
  <c r="AU10" i="38"/>
  <c r="AX10" i="38"/>
  <c r="BA10" i="38"/>
  <c r="AD11" i="38"/>
  <c r="AO11" i="38"/>
  <c r="AR11" i="38"/>
  <c r="AU11" i="38"/>
  <c r="AX11" i="38"/>
  <c r="BA11" i="38"/>
  <c r="AD12" i="38"/>
  <c r="AO12" i="38"/>
  <c r="AR12" i="38"/>
  <c r="AU12" i="38"/>
  <c r="AX12" i="38"/>
  <c r="BA12" i="38"/>
  <c r="AD13" i="38"/>
  <c r="AO13" i="38"/>
  <c r="AR13" i="38"/>
  <c r="AU13" i="38"/>
  <c r="AX13" i="38"/>
  <c r="BA13" i="38"/>
  <c r="AD14" i="38"/>
  <c r="AO14" i="38"/>
  <c r="AR14" i="38"/>
  <c r="AU14" i="38"/>
  <c r="AX14" i="38"/>
  <c r="BA14" i="38"/>
  <c r="AD15" i="38"/>
  <c r="AO15" i="38"/>
  <c r="AR15" i="38"/>
  <c r="AU15" i="38"/>
  <c r="AX15" i="38"/>
  <c r="BA15" i="38"/>
  <c r="AD20" i="38"/>
  <c r="AU20" i="38"/>
  <c r="AX20" i="38"/>
  <c r="BA20" i="38"/>
  <c r="BD20" i="38"/>
  <c r="BG20" i="38"/>
  <c r="AD21" i="38"/>
  <c r="AU21" i="38"/>
  <c r="AX21" i="38"/>
  <c r="BA21" i="38"/>
  <c r="BD21" i="38"/>
  <c r="BG21" i="38"/>
  <c r="AD22" i="38"/>
  <c r="AU22" i="38"/>
  <c r="AX22" i="38"/>
  <c r="BA22" i="38"/>
  <c r="BD22" i="38"/>
  <c r="BG22" i="38"/>
  <c r="AD23" i="38"/>
  <c r="AU23" i="38"/>
  <c r="AX23" i="38"/>
  <c r="BA23" i="38"/>
  <c r="BD23" i="38"/>
  <c r="BG23" i="38"/>
  <c r="AD24" i="38"/>
  <c r="AU24" i="38"/>
  <c r="AX24" i="38"/>
  <c r="BA24" i="38"/>
  <c r="BD24" i="38"/>
  <c r="BG24" i="38"/>
  <c r="AD30" i="38"/>
  <c r="AD31" i="38"/>
  <c r="AD32" i="38"/>
  <c r="AD33" i="38"/>
  <c r="AQ37" i="38"/>
  <c r="AQ38" i="38"/>
  <c r="AQ39" i="38"/>
  <c r="AQ40" i="38"/>
  <c r="AQ41" i="38"/>
  <c r="AQ42" i="38"/>
  <c r="AD43" i="38"/>
  <c r="AQ43" i="38"/>
  <c r="AD44" i="38"/>
  <c r="AQ44" i="38"/>
  <c r="AD45" i="38"/>
  <c r="AQ45" i="38"/>
  <c r="AO50" i="38"/>
  <c r="AQ50" i="38"/>
  <c r="AO51" i="38"/>
  <c r="AQ51" i="38"/>
  <c r="AO52" i="38"/>
  <c r="AQ52" i="38"/>
  <c r="AD54" i="38"/>
  <c r="AO54" i="38"/>
  <c r="AQ54" i="38"/>
  <c r="AD55" i="38"/>
  <c r="AO55" i="38"/>
  <c r="AQ55" i="38"/>
  <c r="AD56" i="38"/>
  <c r="AO56" i="38"/>
  <c r="AQ56" i="38"/>
  <c r="AD57" i="38"/>
  <c r="AO57" i="38"/>
  <c r="AQ57" i="38"/>
  <c r="AQ61" i="38"/>
  <c r="AQ62" i="38"/>
  <c r="AQ63" i="38"/>
  <c r="AQ64" i="38"/>
  <c r="AQ65" i="38"/>
  <c r="AQ67" i="38"/>
  <c r="AQ68" i="38"/>
  <c r="AQ69" i="38"/>
  <c r="AQ71" i="38"/>
  <c r="AQ72" i="38"/>
  <c r="AO73" i="38"/>
  <c r="AQ73" i="38"/>
  <c r="AQ76" i="38"/>
  <c r="AQ77" i="38"/>
  <c r="AQ80" i="38"/>
  <c r="AD81" i="38"/>
  <c r="AQ81" i="38"/>
  <c r="AO45" i="38"/>
  <c r="AF7" i="43"/>
  <c r="AN3" i="50"/>
  <c r="AN4" i="50"/>
  <c r="S33" i="51"/>
  <c r="S34" i="51"/>
  <c r="S36" i="51"/>
  <c r="S37" i="51"/>
  <c r="AB118" i="51"/>
  <c r="AB119" i="51" s="1"/>
  <c r="AB120" i="51" s="1"/>
  <c r="AB121" i="51" s="1"/>
  <c r="AB122" i="51" s="1"/>
  <c r="AB123" i="51" s="1"/>
  <c r="AB124" i="51" s="1"/>
  <c r="AB125" i="51" s="1"/>
  <c r="AB126" i="51" s="1"/>
  <c r="BI118" i="51"/>
  <c r="CI118" i="51"/>
  <c r="CI119" i="51" s="1"/>
  <c r="CI120" i="51" s="1"/>
  <c r="CI121" i="51" s="1"/>
  <c r="CI122" i="51" s="1"/>
  <c r="CI123" i="51" s="1"/>
  <c r="CI124" i="51" s="1"/>
  <c r="CI125" i="51" s="1"/>
  <c r="CI126" i="51" s="1"/>
  <c r="DI118" i="51"/>
  <c r="DI119" i="51" s="1"/>
  <c r="DI120" i="51" s="1"/>
  <c r="DI121" i="51" s="1"/>
  <c r="DI122" i="51" s="1"/>
  <c r="DI123" i="51" s="1"/>
  <c r="DI124" i="51" s="1"/>
  <c r="DI125" i="51" s="1"/>
  <c r="DI126" i="51" s="1"/>
  <c r="BI119" i="51"/>
  <c r="BI120" i="51" s="1"/>
  <c r="BI121" i="51" s="1"/>
  <c r="BI122" i="51" s="1"/>
  <c r="BI123" i="51" s="1"/>
  <c r="BI124" i="51" s="1"/>
  <c r="BI125" i="51" s="1"/>
  <c r="BI126" i="51" s="1"/>
  <c r="H11" i="21"/>
  <c r="B23" i="51" s="1"/>
  <c r="AB4" i="46"/>
  <c r="K54" i="14" s="1"/>
  <c r="AE4" i="46"/>
  <c r="L54" i="14" s="1"/>
  <c r="AH4" i="46"/>
  <c r="AB5" i="46"/>
  <c r="AE5" i="46"/>
  <c r="AH5" i="46"/>
  <c r="AB7" i="46"/>
  <c r="K56" i="14" s="1"/>
  <c r="AE7" i="46"/>
  <c r="AH7" i="46"/>
  <c r="S56" i="14" s="1"/>
  <c r="AB9" i="46"/>
  <c r="K57" i="14" s="1"/>
  <c r="AH9" i="46"/>
  <c r="S57" i="14" s="1"/>
  <c r="AK9" i="46"/>
  <c r="M57" i="14" s="1"/>
  <c r="AB11" i="46"/>
  <c r="M7" i="4"/>
  <c r="AX10" i="41"/>
  <c r="M15" i="4" s="1"/>
  <c r="AX11" i="41"/>
  <c r="M16" i="4" s="1"/>
  <c r="AX12" i="41"/>
  <c r="M17" i="4" s="1"/>
  <c r="D26" i="14"/>
  <c r="J34" i="4" s="1"/>
  <c r="H16" i="11"/>
  <c r="I16" i="11"/>
  <c r="Q49" i="11"/>
  <c r="L20" i="4" s="1"/>
  <c r="O19" i="14"/>
  <c r="K27" i="4" s="1"/>
  <c r="O22" i="14"/>
  <c r="K30" i="4" s="1"/>
  <c r="N30" i="4" s="1"/>
  <c r="O24" i="14"/>
  <c r="K32" i="4" s="1"/>
  <c r="N32" i="4" s="1"/>
  <c r="O45" i="14"/>
  <c r="K38" i="4" s="1"/>
  <c r="O54" i="14"/>
  <c r="K39" i="4" s="1"/>
  <c r="O55" i="14"/>
  <c r="K40" i="4" s="1"/>
  <c r="F15" i="10"/>
  <c r="J11" i="4" s="1"/>
  <c r="F16" i="10"/>
  <c r="C69" i="10" s="1"/>
  <c r="E69" i="10" s="1"/>
  <c r="J14" i="4"/>
  <c r="F19" i="10"/>
  <c r="S19" i="10"/>
  <c r="F20" i="10"/>
  <c r="C20" i="10" s="1"/>
  <c r="C35" i="10" s="1"/>
  <c r="C57" i="10" s="1"/>
  <c r="J16" i="4"/>
  <c r="S20" i="10"/>
  <c r="F21" i="10"/>
  <c r="J17" i="4" s="1"/>
  <c r="S21" i="10"/>
  <c r="F14" i="11"/>
  <c r="J18" i="4" s="1"/>
  <c r="F16" i="11"/>
  <c r="J20" i="4" s="1"/>
  <c r="D21" i="4"/>
  <c r="F17" i="11"/>
  <c r="J21" i="4" s="1"/>
  <c r="H17" i="11"/>
  <c r="G31" i="11" s="1"/>
  <c r="I31" i="11" s="1"/>
  <c r="I17" i="11"/>
  <c r="D22" i="4"/>
  <c r="F18" i="11"/>
  <c r="J22" i="4" s="1"/>
  <c r="Q51" i="11"/>
  <c r="L22" i="4" s="1"/>
  <c r="H18" i="11"/>
  <c r="I18" i="11"/>
  <c r="H32" i="11" s="1"/>
  <c r="M22" i="4"/>
  <c r="D23" i="4"/>
  <c r="D14" i="14"/>
  <c r="J23" i="4" s="1"/>
  <c r="D15" i="14"/>
  <c r="J24" i="4" s="1"/>
  <c r="D16" i="14"/>
  <c r="J25" i="4" s="1"/>
  <c r="D19" i="14"/>
  <c r="J27" i="4" s="1"/>
  <c r="D28" i="4"/>
  <c r="D30" i="4"/>
  <c r="D22" i="14"/>
  <c r="J30" i="4" s="1"/>
  <c r="E22" i="14"/>
  <c r="G22" i="14" s="1"/>
  <c r="I22" i="14" s="1"/>
  <c r="M30" i="4" s="1"/>
  <c r="D23" i="14"/>
  <c r="J31" i="4" s="1"/>
  <c r="E23" i="14"/>
  <c r="G23" i="14" s="1"/>
  <c r="I23" i="14" s="1"/>
  <c r="M31" i="4" s="1"/>
  <c r="D32" i="4"/>
  <c r="D24" i="14"/>
  <c r="J32" i="4" s="1"/>
  <c r="E24" i="14"/>
  <c r="G24" i="14" s="1"/>
  <c r="I24" i="14" s="1"/>
  <c r="M32" i="4" s="1"/>
  <c r="D25" i="14"/>
  <c r="J33" i="4" s="1"/>
  <c r="E25" i="14"/>
  <c r="G25" i="14" s="1"/>
  <c r="I25" i="14" s="1"/>
  <c r="M33" i="4" s="1"/>
  <c r="D35" i="4"/>
  <c r="G30" i="14"/>
  <c r="I30" i="14" s="1"/>
  <c r="M35" i="4" s="1"/>
  <c r="D38" i="4"/>
  <c r="D39" i="4"/>
  <c r="D40" i="4"/>
  <c r="D41" i="4"/>
  <c r="D42" i="4"/>
  <c r="O57" i="14"/>
  <c r="K42" i="4" s="1"/>
  <c r="F15" i="11"/>
  <c r="J19" i="4" s="1"/>
  <c r="D18" i="4"/>
  <c r="D11" i="4"/>
  <c r="D12" i="4"/>
  <c r="D13" i="4"/>
  <c r="D18" i="14"/>
  <c r="J26" i="4" s="1"/>
  <c r="O20" i="14"/>
  <c r="K28" i="4" s="1"/>
  <c r="N28" i="4" s="1"/>
  <c r="D20" i="14"/>
  <c r="J28" i="4" s="1"/>
  <c r="D21" i="14"/>
  <c r="J29" i="4" s="1"/>
  <c r="L29" i="14"/>
  <c r="L26" i="14" s="1"/>
  <c r="D37" i="4"/>
  <c r="AZ10" i="41"/>
  <c r="G19" i="10" s="1"/>
  <c r="G34" i="10" s="1"/>
  <c r="BC10" i="41"/>
  <c r="H19" i="10" s="1"/>
  <c r="BF10" i="41"/>
  <c r="I19" i="10" s="1"/>
  <c r="BI10" i="41"/>
  <c r="J19" i="10" s="1"/>
  <c r="AZ11" i="41"/>
  <c r="G20" i="10" s="1"/>
  <c r="G35" i="10" s="1"/>
  <c r="BC11" i="41"/>
  <c r="H20" i="10" s="1"/>
  <c r="H35" i="10" s="1"/>
  <c r="BF11" i="41"/>
  <c r="I20" i="10" s="1"/>
  <c r="BI11" i="41"/>
  <c r="J20" i="10" s="1"/>
  <c r="AZ12" i="41"/>
  <c r="G21" i="10" s="1"/>
  <c r="G36" i="10" s="1"/>
  <c r="BC12" i="41"/>
  <c r="H21" i="10" s="1"/>
  <c r="H36" i="10" s="1"/>
  <c r="BF12" i="41"/>
  <c r="I21" i="10" s="1"/>
  <c r="BI12" i="41"/>
  <c r="J21" i="10" s="1"/>
  <c r="C17" i="41"/>
  <c r="C18" i="41"/>
  <c r="C19" i="41"/>
  <c r="C20" i="41"/>
  <c r="C21" i="41"/>
  <c r="C22" i="41"/>
  <c r="C23" i="41"/>
  <c r="C24" i="41"/>
  <c r="Q14" i="47"/>
  <c r="H24" i="22" s="1"/>
  <c r="S14" i="47"/>
  <c r="I24" i="22" s="1"/>
  <c r="D11" i="37"/>
  <c r="D12" i="37" s="1"/>
  <c r="D13" i="37" s="1"/>
  <c r="D14" i="37" s="1"/>
  <c r="D15" i="37" s="1"/>
  <c r="D16" i="37" s="1"/>
  <c r="D17" i="37" s="1"/>
  <c r="D18" i="37" s="1"/>
  <c r="D19" i="37" s="1"/>
  <c r="D20" i="37" s="1"/>
  <c r="D21" i="37" s="1"/>
  <c r="D22" i="37" s="1"/>
  <c r="D23" i="37" s="1"/>
  <c r="D24" i="37" s="1"/>
  <c r="K59" i="37"/>
  <c r="B83" i="37"/>
  <c r="B93" i="37" s="1"/>
  <c r="C83" i="37"/>
  <c r="C91" i="37" s="1"/>
  <c r="E83" i="37"/>
  <c r="E86" i="37" s="1"/>
  <c r="H97" i="37"/>
  <c r="I97" i="37"/>
  <c r="J97" i="37"/>
  <c r="K97" i="37"/>
  <c r="M97" i="37"/>
  <c r="N97" i="37"/>
  <c r="P97" i="37"/>
  <c r="T97" i="37"/>
  <c r="U97" i="37"/>
  <c r="X97" i="37"/>
  <c r="Z97" i="37"/>
  <c r="AA97" i="37"/>
  <c r="AB97" i="37"/>
  <c r="AC97" i="37"/>
  <c r="AD97" i="37"/>
  <c r="AE97" i="37"/>
  <c r="A109" i="37"/>
  <c r="G184" i="37"/>
  <c r="I184" i="37"/>
  <c r="K184" i="37"/>
  <c r="M184" i="37"/>
  <c r="G185" i="37"/>
  <c r="I185" i="37"/>
  <c r="K185" i="37"/>
  <c r="M185" i="37"/>
  <c r="G186" i="37"/>
  <c r="I186" i="37"/>
  <c r="K186" i="37"/>
  <c r="M186" i="37"/>
  <c r="G187" i="37"/>
  <c r="I187" i="37"/>
  <c r="K187" i="37"/>
  <c r="M187" i="37"/>
  <c r="G188" i="37"/>
  <c r="I188" i="37"/>
  <c r="K188" i="37"/>
  <c r="M188" i="37"/>
  <c r="G189" i="37"/>
  <c r="I189" i="37"/>
  <c r="K189" i="37"/>
  <c r="M189" i="37"/>
  <c r="A246" i="37"/>
  <c r="A247" i="37"/>
  <c r="A248" i="37"/>
  <c r="A253" i="37"/>
  <c r="A254" i="37"/>
  <c r="H4" i="19"/>
  <c r="K8" i="19"/>
  <c r="D25" i="19"/>
  <c r="I25" i="19"/>
  <c r="K25" i="19"/>
  <c r="L25" i="19"/>
  <c r="K38" i="19"/>
  <c r="E27" i="25" s="1"/>
  <c r="L38" i="19"/>
  <c r="E47" i="19"/>
  <c r="K47" i="19"/>
  <c r="B47" i="19"/>
  <c r="H47" i="19"/>
  <c r="J47" i="19"/>
  <c r="K61" i="19"/>
  <c r="D27" i="25" s="1"/>
  <c r="L61" i="19"/>
  <c r="J4" i="19"/>
  <c r="H4" i="20"/>
  <c r="G8" i="20"/>
  <c r="D22" i="20" s="1"/>
  <c r="I22" i="20"/>
  <c r="K22" i="20"/>
  <c r="L22" i="20"/>
  <c r="I35" i="20"/>
  <c r="E28" i="25" s="1"/>
  <c r="K35" i="20"/>
  <c r="J4" i="20"/>
  <c r="J19" i="30"/>
  <c r="C19" i="30"/>
  <c r="C20" i="30"/>
  <c r="M10" i="30"/>
  <c r="D30" i="30" s="1"/>
  <c r="M11" i="30"/>
  <c r="K20" i="30" s="1"/>
  <c r="M9" i="30"/>
  <c r="E30" i="30" s="1"/>
  <c r="H4" i="30"/>
  <c r="C30" i="30"/>
  <c r="C31" i="30"/>
  <c r="J30" i="30"/>
  <c r="AS8" i="42"/>
  <c r="P16" i="11" s="1"/>
  <c r="BK8" i="42"/>
  <c r="BN8" i="42"/>
  <c r="F30" i="11" s="1"/>
  <c r="AS9" i="42"/>
  <c r="P17" i="11" s="1"/>
  <c r="BK9" i="42"/>
  <c r="E31" i="11" s="1"/>
  <c r="BN9" i="42"/>
  <c r="AS10" i="42"/>
  <c r="P18" i="11" s="1"/>
  <c r="BK10" i="42"/>
  <c r="E32" i="11" s="1"/>
  <c r="BN10" i="42"/>
  <c r="F32" i="11" s="1"/>
  <c r="AV8" i="42"/>
  <c r="AV9" i="42"/>
  <c r="O17" i="11" s="1"/>
  <c r="AV10" i="42"/>
  <c r="Q18" i="11" s="1"/>
  <c r="T18" i="11" s="1"/>
  <c r="AY8" i="42"/>
  <c r="J49" i="11" s="1"/>
  <c r="BB8" i="42"/>
  <c r="K49" i="11" s="1"/>
  <c r="AY9" i="42"/>
  <c r="J50" i="11" s="1"/>
  <c r="BB9" i="42"/>
  <c r="K50" i="11" s="1"/>
  <c r="AY10" i="42"/>
  <c r="J51" i="11" s="1"/>
  <c r="BB10" i="42"/>
  <c r="K51" i="11" s="1"/>
  <c r="BE8" i="42"/>
  <c r="F49" i="11" s="1"/>
  <c r="BH8" i="42"/>
  <c r="G49" i="11" s="1"/>
  <c r="BE9" i="42"/>
  <c r="F50" i="11" s="1"/>
  <c r="BH9" i="42"/>
  <c r="G50" i="11" s="1"/>
  <c r="BE10" i="42"/>
  <c r="F51" i="11" s="1"/>
  <c r="BH10" i="42"/>
  <c r="G51" i="11" s="1"/>
  <c r="AO6" i="42"/>
  <c r="E3" i="25"/>
  <c r="D23" i="25"/>
  <c r="E23" i="25"/>
  <c r="E4" i="49"/>
  <c r="AN5" i="44"/>
  <c r="M18" i="14" s="1"/>
  <c r="AN6" i="44"/>
  <c r="M19" i="14" s="1"/>
  <c r="AN7" i="44"/>
  <c r="M20" i="14" s="1"/>
  <c r="AN8" i="44"/>
  <c r="M21" i="14" s="1"/>
  <c r="AF9" i="44"/>
  <c r="AK9" i="44"/>
  <c r="AI9" i="44" s="1"/>
  <c r="S22" i="14" s="1"/>
  <c r="AN9" i="44"/>
  <c r="M22" i="14" s="1"/>
  <c r="AF10" i="44"/>
  <c r="K23" i="14" s="1"/>
  <c r="AK10" i="44"/>
  <c r="AI10" i="44" s="1"/>
  <c r="S23" i="14" s="1"/>
  <c r="AN10" i="44"/>
  <c r="M23" i="14" s="1"/>
  <c r="AF11" i="44"/>
  <c r="AK11" i="44"/>
  <c r="AI11" i="44" s="1"/>
  <c r="S24" i="14" s="1"/>
  <c r="AN11" i="44"/>
  <c r="M24" i="14" s="1"/>
  <c r="AF12" i="44"/>
  <c r="AK12" i="44"/>
  <c r="AI12" i="44" s="1"/>
  <c r="S25" i="14" s="1"/>
  <c r="AN12" i="44"/>
  <c r="M25" i="14" s="1"/>
  <c r="AF17" i="44"/>
  <c r="K30" i="14" s="1"/>
  <c r="D4" i="2"/>
  <c r="D5" i="2"/>
  <c r="I11" i="2"/>
  <c r="F20" i="2"/>
  <c r="F25" i="2"/>
  <c r="F26" i="2"/>
  <c r="B10" i="10"/>
  <c r="E14" i="10"/>
  <c r="E15" i="10"/>
  <c r="N15" i="10"/>
  <c r="N30" i="10" s="1"/>
  <c r="J52" i="10"/>
  <c r="D68" i="10" s="1"/>
  <c r="K52" i="10"/>
  <c r="G68" i="10" s="1"/>
  <c r="L52" i="10"/>
  <c r="I68" i="10" s="1"/>
  <c r="M52" i="10"/>
  <c r="K68" i="10" s="1"/>
  <c r="J30" i="10"/>
  <c r="H30" i="10"/>
  <c r="K30" i="10"/>
  <c r="E16" i="10"/>
  <c r="N16" i="10"/>
  <c r="N31" i="10" s="1"/>
  <c r="J53" i="10"/>
  <c r="D69" i="10"/>
  <c r="K53" i="10"/>
  <c r="G69" i="10" s="1"/>
  <c r="L53" i="10"/>
  <c r="I69" i="10" s="1"/>
  <c r="M53" i="10"/>
  <c r="K69" i="10" s="1"/>
  <c r="I31" i="10"/>
  <c r="J31" i="10"/>
  <c r="K31" i="10"/>
  <c r="M31" i="10"/>
  <c r="O31" i="10"/>
  <c r="E53" i="10" s="1"/>
  <c r="I53" i="10" s="1"/>
  <c r="O69" i="10" s="1"/>
  <c r="C17" i="10"/>
  <c r="C32" i="10" s="1"/>
  <c r="C54" i="10" s="1"/>
  <c r="E17" i="10"/>
  <c r="C18" i="10"/>
  <c r="C33" i="10" s="1"/>
  <c r="C55" i="10" s="1"/>
  <c r="E18" i="10"/>
  <c r="E19" i="10"/>
  <c r="K19" i="10"/>
  <c r="K34" i="10" s="1"/>
  <c r="N19" i="10"/>
  <c r="N34" i="10" s="1"/>
  <c r="J56" i="10"/>
  <c r="D72" i="10" s="1"/>
  <c r="K56" i="10"/>
  <c r="G72" i="10" s="1"/>
  <c r="L56" i="10"/>
  <c r="I72" i="10" s="1"/>
  <c r="M56" i="10"/>
  <c r="K72" i="10" s="1"/>
  <c r="E20" i="10"/>
  <c r="K20" i="10"/>
  <c r="K35" i="10" s="1"/>
  <c r="N20" i="10"/>
  <c r="N35" i="10" s="1"/>
  <c r="J57" i="10"/>
  <c r="D73" i="10" s="1"/>
  <c r="K57" i="10"/>
  <c r="G73" i="10" s="1"/>
  <c r="L57" i="10"/>
  <c r="I73" i="10" s="1"/>
  <c r="M57" i="10"/>
  <c r="K73" i="10" s="1"/>
  <c r="E21" i="10"/>
  <c r="K21" i="10"/>
  <c r="K36" i="10" s="1"/>
  <c r="N21" i="10"/>
  <c r="N36" i="10" s="1"/>
  <c r="O21" i="10"/>
  <c r="J58" i="10"/>
  <c r="D74" i="10"/>
  <c r="K58" i="10"/>
  <c r="G74" i="10" s="1"/>
  <c r="L58" i="10"/>
  <c r="M58" i="10"/>
  <c r="K74" i="10" s="1"/>
  <c r="I74" i="10"/>
  <c r="H34" i="10"/>
  <c r="I34" i="10"/>
  <c r="J34" i="10"/>
  <c r="M34" i="10"/>
  <c r="I35" i="10"/>
  <c r="J35" i="10"/>
  <c r="I36" i="10"/>
  <c r="J36" i="10"/>
  <c r="O36" i="10"/>
  <c r="E58" i="10" s="1"/>
  <c r="I58" i="10" s="1"/>
  <c r="O74" i="10" s="1"/>
  <c r="L45" i="10"/>
  <c r="O53" i="10"/>
  <c r="O54" i="10"/>
  <c r="O55" i="10"/>
  <c r="G56" i="10"/>
  <c r="O56" i="10"/>
  <c r="O57" i="10"/>
  <c r="O58" i="10"/>
  <c r="O16" i="10"/>
  <c r="N69" i="10" s="1"/>
  <c r="G53" i="10"/>
  <c r="G55" i="10"/>
  <c r="E30" i="11"/>
  <c r="G16" i="11"/>
  <c r="M16" i="11"/>
  <c r="F31" i="11"/>
  <c r="G17" i="11"/>
  <c r="M17" i="11"/>
  <c r="G18" i="11"/>
  <c r="G32" i="11"/>
  <c r="M18" i="11"/>
  <c r="Q15" i="11"/>
  <c r="T15" i="11" s="1"/>
  <c r="D49" i="11"/>
  <c r="E49" i="11" s="1"/>
  <c r="D50" i="11"/>
  <c r="E50" i="11" s="1"/>
  <c r="D51" i="11"/>
  <c r="E51" i="11" s="1"/>
  <c r="N15" i="11"/>
  <c r="S29" i="11" s="1"/>
  <c r="B10" i="11"/>
  <c r="U14" i="11"/>
  <c r="U15" i="11"/>
  <c r="U16" i="11"/>
  <c r="N17" i="11"/>
  <c r="S31" i="11" s="1"/>
  <c r="U17" i="11"/>
  <c r="O18" i="11"/>
  <c r="S18" i="11" s="1"/>
  <c r="U18" i="11"/>
  <c r="Q28" i="11"/>
  <c r="U28" i="11" s="1"/>
  <c r="Q29" i="11"/>
  <c r="U29" i="11" s="1"/>
  <c r="Q30" i="11"/>
  <c r="U30" i="11" s="1"/>
  <c r="Q31" i="11"/>
  <c r="U31" i="11" s="1"/>
  <c r="Q32" i="11"/>
  <c r="U32" i="11" s="1"/>
  <c r="P72" i="14"/>
  <c r="M72" i="14" s="1"/>
  <c r="P73" i="14"/>
  <c r="P79" i="14"/>
  <c r="N79" i="14" s="1"/>
  <c r="K79" i="14" s="1"/>
  <c r="O83" i="14"/>
  <c r="L83" i="14" s="1"/>
  <c r="O84" i="14"/>
  <c r="L84" i="14" s="1"/>
  <c r="O85" i="14"/>
  <c r="L85" i="14" s="1"/>
  <c r="B7" i="14"/>
  <c r="K16" i="14"/>
  <c r="K22" i="14"/>
  <c r="U22" i="14"/>
  <c r="K24" i="14"/>
  <c r="U24" i="14"/>
  <c r="K25" i="14"/>
  <c r="U25" i="14"/>
  <c r="E26" i="14"/>
  <c r="F26" i="14"/>
  <c r="H26" i="14"/>
  <c r="J26" i="14"/>
  <c r="M26" i="14"/>
  <c r="D27" i="14"/>
  <c r="E27" i="14"/>
  <c r="F27" i="14"/>
  <c r="H27" i="14"/>
  <c r="J27" i="14"/>
  <c r="L27" i="14"/>
  <c r="M27" i="14"/>
  <c r="N27" i="14"/>
  <c r="O29" i="14"/>
  <c r="P29" i="14"/>
  <c r="G32" i="14"/>
  <c r="O32" i="14"/>
  <c r="G33" i="14"/>
  <c r="O33" i="14"/>
  <c r="G34" i="14"/>
  <c r="O34" i="14"/>
  <c r="K42" i="14"/>
  <c r="M44" i="14"/>
  <c r="M45" i="14"/>
  <c r="N45" i="14"/>
  <c r="Z45" i="14"/>
  <c r="V45" i="14" s="1"/>
  <c r="K53" i="14"/>
  <c r="S54" i="14"/>
  <c r="Z54" i="14"/>
  <c r="V54" i="14" s="1"/>
  <c r="K55" i="14"/>
  <c r="L55" i="14"/>
  <c r="S55" i="14"/>
  <c r="Z55" i="14"/>
  <c r="V55" i="14" s="1"/>
  <c r="K58" i="14"/>
  <c r="S58" i="14"/>
  <c r="V58" i="14"/>
  <c r="E79" i="14"/>
  <c r="N83" i="14"/>
  <c r="K83" i="14" s="1"/>
  <c r="P83" i="14"/>
  <c r="M83" i="14"/>
  <c r="N84" i="14"/>
  <c r="K84" i="14" s="1"/>
  <c r="P84" i="14"/>
  <c r="M84" i="14" s="1"/>
  <c r="N85" i="14"/>
  <c r="K85" i="14" s="1"/>
  <c r="P85" i="14"/>
  <c r="M85" i="14" s="1"/>
  <c r="I3" i="22"/>
  <c r="E32" i="22"/>
  <c r="H32" i="22" s="1"/>
  <c r="F32" i="22"/>
  <c r="G32" i="22"/>
  <c r="I32" i="22"/>
  <c r="J32" i="22"/>
  <c r="E33" i="22"/>
  <c r="F33" i="22"/>
  <c r="G33" i="22"/>
  <c r="I33" i="22"/>
  <c r="J33" i="22"/>
  <c r="E34" i="22"/>
  <c r="F34" i="22"/>
  <c r="G34" i="22"/>
  <c r="I34" i="22"/>
  <c r="J34" i="22"/>
  <c r="E35" i="22"/>
  <c r="F35" i="22"/>
  <c r="G35" i="22"/>
  <c r="I35" i="22"/>
  <c r="J35" i="22"/>
  <c r="R37" i="22"/>
  <c r="T37" i="22"/>
  <c r="H44" i="22"/>
  <c r="I44" i="22" s="1"/>
  <c r="Q44" i="22" s="1"/>
  <c r="H45" i="22"/>
  <c r="I45" i="22" s="1"/>
  <c r="Q45" i="22" s="1"/>
  <c r="H46" i="22"/>
  <c r="I46" i="22" s="1"/>
  <c r="H47" i="22"/>
  <c r="I47" i="22"/>
  <c r="N57" i="22"/>
  <c r="O57" i="22"/>
  <c r="O61" i="22" s="1"/>
  <c r="N58" i="22"/>
  <c r="O58" i="22"/>
  <c r="N59" i="22"/>
  <c r="O59" i="22"/>
  <c r="N60" i="22"/>
  <c r="O60" i="22"/>
  <c r="L68" i="22"/>
  <c r="O68" i="22" s="1"/>
  <c r="L69" i="22"/>
  <c r="O69" i="22" s="1"/>
  <c r="L70" i="22"/>
  <c r="O70" i="22" s="1"/>
  <c r="L71" i="22"/>
  <c r="O71" i="22" s="1"/>
  <c r="L79" i="22"/>
  <c r="O79" i="22" s="1"/>
  <c r="L80" i="22"/>
  <c r="O80" i="22" s="1"/>
  <c r="L81" i="22"/>
  <c r="O81" i="22"/>
  <c r="L82" i="22"/>
  <c r="O82" i="22" s="1"/>
  <c r="L90" i="22"/>
  <c r="O90" i="22" s="1"/>
  <c r="L91" i="22"/>
  <c r="O91" i="22" s="1"/>
  <c r="L92" i="22"/>
  <c r="O92" i="22" s="1"/>
  <c r="L93" i="22"/>
  <c r="O93" i="22" s="1"/>
  <c r="K101" i="22"/>
  <c r="N101" i="22" s="1"/>
  <c r="O101" i="22"/>
  <c r="K102" i="22"/>
  <c r="N102" i="22" s="1"/>
  <c r="O102" i="22"/>
  <c r="K103" i="22"/>
  <c r="N103" i="22" s="1"/>
  <c r="O103" i="22"/>
  <c r="K104" i="22"/>
  <c r="N104" i="22" s="1"/>
  <c r="O104" i="22"/>
  <c r="N113" i="22"/>
  <c r="N114" i="22"/>
  <c r="H149" i="22"/>
  <c r="K149" i="22" s="1"/>
  <c r="N149" i="22" s="1"/>
  <c r="O149" i="22"/>
  <c r="H150" i="22"/>
  <c r="K150" i="22" s="1"/>
  <c r="N150" i="22" s="1"/>
  <c r="O150" i="22"/>
  <c r="H151" i="22"/>
  <c r="K151" i="22" s="1"/>
  <c r="N151" i="22" s="1"/>
  <c r="O151" i="22"/>
  <c r="O152" i="22"/>
  <c r="Q23" i="24"/>
  <c r="T23" i="24"/>
  <c r="H3" i="24"/>
  <c r="B6" i="24"/>
  <c r="C14" i="24"/>
  <c r="D14" i="24"/>
  <c r="Y20" i="24"/>
  <c r="Y25" i="24" s="1"/>
  <c r="I23" i="24"/>
  <c r="I24" i="24"/>
  <c r="Q24" i="24"/>
  <c r="T24" i="24"/>
  <c r="M29" i="24"/>
  <c r="M30" i="24"/>
  <c r="M31" i="24"/>
  <c r="M32" i="24"/>
  <c r="M33" i="24"/>
  <c r="M34" i="24"/>
  <c r="M35" i="24"/>
  <c r="M36" i="24"/>
  <c r="M37" i="24"/>
  <c r="M38" i="24"/>
  <c r="AF41" i="24"/>
  <c r="AH41" i="24"/>
  <c r="AI41" i="24"/>
  <c r="AJ41" i="24"/>
  <c r="AK41" i="24"/>
  <c r="AF42" i="24"/>
  <c r="AH42" i="24"/>
  <c r="AI42" i="24"/>
  <c r="AJ42" i="24"/>
  <c r="AK42" i="24"/>
  <c r="AF43" i="24"/>
  <c r="AH43" i="24"/>
  <c r="AI43" i="24"/>
  <c r="AJ43" i="24"/>
  <c r="AK43" i="24"/>
  <c r="AF44" i="24"/>
  <c r="AH44" i="24"/>
  <c r="AI44" i="24"/>
  <c r="AJ44" i="24"/>
  <c r="AK44" i="24"/>
  <c r="G49" i="24"/>
  <c r="F4" i="21"/>
  <c r="AP4" i="21" s="1"/>
  <c r="AD4" i="21"/>
  <c r="H4" i="21"/>
  <c r="B22" i="21"/>
  <c r="E11" i="21" s="1"/>
  <c r="Q22" i="21"/>
  <c r="N22" i="21"/>
  <c r="Q11" i="21" s="1"/>
  <c r="O22" i="21"/>
  <c r="P22" i="21" s="1"/>
  <c r="R11" i="21"/>
  <c r="AC22" i="21"/>
  <c r="Z22" i="21"/>
  <c r="AC11" i="21" s="1"/>
  <c r="AA22" i="21"/>
  <c r="AB22" i="21" s="1"/>
  <c r="AD11" i="21"/>
  <c r="AO22" i="21"/>
  <c r="AL22" i="21"/>
  <c r="AO11" i="21" s="1"/>
  <c r="AM22" i="21"/>
  <c r="AN22" i="21" s="1"/>
  <c r="AP11" i="21"/>
  <c r="C31" i="21"/>
  <c r="L32" i="21"/>
  <c r="L36" i="21" s="1"/>
  <c r="L33" i="21"/>
  <c r="L40" i="21"/>
  <c r="L42" i="21"/>
  <c r="X47" i="21"/>
  <c r="AJ47" i="21"/>
  <c r="AV47" i="21"/>
  <c r="S51" i="21"/>
  <c r="S55" i="21" s="1"/>
  <c r="X51" i="21"/>
  <c r="X57" i="21" s="1"/>
  <c r="AE51" i="21"/>
  <c r="AJ51" i="21"/>
  <c r="AJ57" i="21" s="1"/>
  <c r="AQ51" i="21"/>
  <c r="AV51" i="21"/>
  <c r="AV57" i="21"/>
  <c r="X56" i="21"/>
  <c r="R4" i="21"/>
  <c r="R45" i="22"/>
  <c r="I49" i="11"/>
  <c r="E90" i="37"/>
  <c r="C86" i="37"/>
  <c r="C89" i="37"/>
  <c r="M18" i="10"/>
  <c r="Q18" i="10" s="1"/>
  <c r="T18" i="10" s="1"/>
  <c r="L14" i="4" s="1"/>
  <c r="D92" i="37" l="1"/>
  <c r="C92" i="37"/>
  <c r="E91" i="37"/>
  <c r="E89" i="37"/>
  <c r="B114" i="37" s="1"/>
  <c r="E10" i="11"/>
  <c r="C6" i="24"/>
  <c r="F3" i="25"/>
  <c r="N45" i="10"/>
  <c r="E7" i="14"/>
  <c r="J3" i="24"/>
  <c r="J4" i="21"/>
  <c r="AH4" i="21" s="1"/>
  <c r="AO44" i="38"/>
  <c r="AO42" i="38"/>
  <c r="AO39" i="38"/>
  <c r="AO38" i="38"/>
  <c r="AO37" i="38"/>
  <c r="AO72" i="38"/>
  <c r="D10" i="10"/>
  <c r="J4" i="30"/>
  <c r="AO40" i="38"/>
  <c r="K4" i="28"/>
  <c r="K3" i="22"/>
  <c r="G20" i="2"/>
  <c r="N27" i="4"/>
  <c r="I50" i="11"/>
  <c r="AJ56" i="21"/>
  <c r="C90" i="37"/>
  <c r="B85" i="37"/>
  <c r="X55" i="21"/>
  <c r="AP22" i="21"/>
  <c r="AN11" i="21" s="1"/>
  <c r="R22" i="21"/>
  <c r="C85" i="37"/>
  <c r="AO43" i="38"/>
  <c r="N22" i="28"/>
  <c r="U45" i="14"/>
  <c r="L30" i="30"/>
  <c r="B86" i="37"/>
  <c r="O79" i="14"/>
  <c r="L79" i="14" s="1"/>
  <c r="L19" i="30"/>
  <c r="B8" i="20"/>
  <c r="F69" i="10"/>
  <c r="H69" i="10" s="1"/>
  <c r="G55" i="14"/>
  <c r="J55" i="14" s="1"/>
  <c r="M40" i="4" s="1"/>
  <c r="I161" i="22"/>
  <c r="K19" i="30"/>
  <c r="C93" i="37"/>
  <c r="C88" i="37"/>
  <c r="D31" i="4"/>
  <c r="O72" i="22"/>
  <c r="C70" i="10"/>
  <c r="E70" i="10" s="1"/>
  <c r="F70" i="10" s="1"/>
  <c r="H70" i="10" s="1"/>
  <c r="J70" i="10" s="1"/>
  <c r="M70" i="10" s="1"/>
  <c r="C14" i="10"/>
  <c r="C29" i="10" s="1"/>
  <c r="C51" i="10" s="1"/>
  <c r="C33" i="21"/>
  <c r="F47" i="19"/>
  <c r="G47" i="19" s="1"/>
  <c r="C61" i="19" s="1"/>
  <c r="H26" i="21"/>
  <c r="J20" i="31"/>
  <c r="I32" i="11"/>
  <c r="J32" i="11" s="1"/>
  <c r="O105" i="22"/>
  <c r="I163" i="22" s="1"/>
  <c r="I51" i="11"/>
  <c r="L51" i="11" s="1"/>
  <c r="K32" i="11"/>
  <c r="L32" i="11" s="1"/>
  <c r="D19" i="30"/>
  <c r="E92" i="37"/>
  <c r="B117" i="37" s="1"/>
  <c r="E85" i="37"/>
  <c r="J12" i="4"/>
  <c r="M45" i="40"/>
  <c r="L34" i="24"/>
  <c r="K39" i="24" s="1"/>
  <c r="AN4" i="45"/>
  <c r="U43" i="14" s="1"/>
  <c r="C16" i="10"/>
  <c r="C31" i="10" s="1"/>
  <c r="C53" i="10" s="1"/>
  <c r="K30" i="30"/>
  <c r="U20" i="14"/>
  <c r="S45" i="22"/>
  <c r="K45" i="22" s="1"/>
  <c r="O45" i="22" s="1"/>
  <c r="X58" i="14"/>
  <c r="R58" i="14" s="1"/>
  <c r="N58" i="14" s="1"/>
  <c r="E19" i="30"/>
  <c r="G30" i="11"/>
  <c r="I30" i="11" s="1"/>
  <c r="AH4" i="45"/>
  <c r="T17" i="10"/>
  <c r="L13" i="4" s="1"/>
  <c r="E88" i="37"/>
  <c r="S56" i="21"/>
  <c r="N105" i="22"/>
  <c r="N61" i="22"/>
  <c r="D20" i="30"/>
  <c r="E93" i="37"/>
  <c r="E87" i="37"/>
  <c r="D24" i="16"/>
  <c r="K23" i="22"/>
  <c r="I12" i="22"/>
  <c r="O12" i="22" s="1"/>
  <c r="P56" i="14"/>
  <c r="P23" i="14"/>
  <c r="P49" i="11"/>
  <c r="K20" i="4" s="1"/>
  <c r="N20" i="4" s="1"/>
  <c r="O20" i="4" s="1"/>
  <c r="M17" i="40"/>
  <c r="N40" i="4"/>
  <c r="AF4" i="21"/>
  <c r="T4" i="21"/>
  <c r="AR4" i="21"/>
  <c r="Q16" i="11"/>
  <c r="T16" i="11" s="1"/>
  <c r="O16" i="11"/>
  <c r="S16" i="11" s="1"/>
  <c r="AQ56" i="21"/>
  <c r="AQ55" i="21"/>
  <c r="G60" i="14"/>
  <c r="I234" i="37" s="1"/>
  <c r="I235" i="37" s="1"/>
  <c r="B240" i="37" s="1"/>
  <c r="C240" i="37" s="1"/>
  <c r="E14" i="24" s="1"/>
  <c r="G14" i="24" s="1"/>
  <c r="I14" i="24" s="1"/>
  <c r="D39" i="24" s="1"/>
  <c r="G27" i="14"/>
  <c r="I27" i="14" s="1"/>
  <c r="O20" i="10"/>
  <c r="D57" i="10" s="1"/>
  <c r="H57" i="10" s="1"/>
  <c r="O58" i="14"/>
  <c r="K43" i="4" s="1"/>
  <c r="N43" i="4" s="1"/>
  <c r="Q50" i="11"/>
  <c r="L21" i="4" s="1"/>
  <c r="N26" i="28"/>
  <c r="F71" i="10"/>
  <c r="H71" i="10" s="1"/>
  <c r="L71" i="10" s="1"/>
  <c r="T16" i="10"/>
  <c r="L12" i="4" s="1"/>
  <c r="D87" i="37"/>
  <c r="C87" i="37"/>
  <c r="AV56" i="21"/>
  <c r="O35" i="22"/>
  <c r="H34" i="22"/>
  <c r="P71" i="14"/>
  <c r="M71" i="14" s="1"/>
  <c r="G54" i="10"/>
  <c r="C74" i="10"/>
  <c r="E74" i="10" s="1"/>
  <c r="F74" i="10" s="1"/>
  <c r="H74" i="10" s="1"/>
  <c r="L74" i="10" s="1"/>
  <c r="C21" i="10"/>
  <c r="C36" i="10" s="1"/>
  <c r="C58" i="10" s="1"/>
  <c r="C68" i="10"/>
  <c r="J35" i="20"/>
  <c r="D88" i="37"/>
  <c r="D43" i="4"/>
  <c r="M20" i="10"/>
  <c r="Q20" i="10" s="1"/>
  <c r="T20" i="10" s="1"/>
  <c r="L16" i="4" s="1"/>
  <c r="H30" i="11"/>
  <c r="M20" i="4" s="1"/>
  <c r="S7" i="31"/>
  <c r="I11" i="22"/>
  <c r="P11" i="22" s="1"/>
  <c r="P21" i="14"/>
  <c r="G29" i="11"/>
  <c r="I16" i="2"/>
  <c r="O21" i="14"/>
  <c r="K29" i="4" s="1"/>
  <c r="N29" i="4" s="1"/>
  <c r="O25" i="14"/>
  <c r="K33" i="4" s="1"/>
  <c r="N33" i="4" s="1"/>
  <c r="U35" i="27"/>
  <c r="AM45" i="24"/>
  <c r="M79" i="14"/>
  <c r="U23" i="14"/>
  <c r="B89" i="37"/>
  <c r="U25" i="24"/>
  <c r="H35" i="22"/>
  <c r="K35" i="22" s="1"/>
  <c r="N35" i="22" s="1"/>
  <c r="E72" i="14"/>
  <c r="M35" i="10"/>
  <c r="C15" i="10"/>
  <c r="C30" i="10" s="1"/>
  <c r="C52" i="10" s="1"/>
  <c r="D86" i="37"/>
  <c r="B111" i="37" s="1"/>
  <c r="D33" i="4"/>
  <c r="D16" i="4"/>
  <c r="J10" i="4"/>
  <c r="F19" i="31"/>
  <c r="F19" i="32"/>
  <c r="B27" i="32" s="1"/>
  <c r="L17" i="10"/>
  <c r="K13" i="4" s="1"/>
  <c r="N13" i="4" s="1"/>
  <c r="O13" i="4" s="1"/>
  <c r="F27" i="2"/>
  <c r="O32" i="10"/>
  <c r="E54" i="10" s="1"/>
  <c r="I54" i="10" s="1"/>
  <c r="O70" i="10" s="1"/>
  <c r="O35" i="10"/>
  <c r="E57" i="10" s="1"/>
  <c r="I57" i="10" s="1"/>
  <c r="O73" i="10" s="1"/>
  <c r="D29" i="4"/>
  <c r="D24" i="4"/>
  <c r="G26" i="14"/>
  <c r="I26" i="14" s="1"/>
  <c r="P77" i="14"/>
  <c r="G57" i="10"/>
  <c r="C73" i="10"/>
  <c r="E73" i="10" s="1"/>
  <c r="F73" i="10" s="1"/>
  <c r="H73" i="10" s="1"/>
  <c r="J73" i="10" s="1"/>
  <c r="M73" i="10" s="1"/>
  <c r="D90" i="37"/>
  <c r="B115" i="37" s="1"/>
  <c r="H31" i="11"/>
  <c r="M21" i="4" s="1"/>
  <c r="AA25" i="24"/>
  <c r="AM25" i="24" s="1"/>
  <c r="V29" i="47"/>
  <c r="P48" i="4" s="1"/>
  <c r="D53" i="10"/>
  <c r="H53" i="10" s="1"/>
  <c r="G8" i="27"/>
  <c r="G30" i="10"/>
  <c r="K27" i="14"/>
  <c r="O30" i="14"/>
  <c r="P30" i="14"/>
  <c r="P59" i="14"/>
  <c r="U29" i="47"/>
  <c r="O48" i="4" s="1"/>
  <c r="O33" i="22"/>
  <c r="O32" i="22"/>
  <c r="U21" i="47"/>
  <c r="O47" i="4" s="1"/>
  <c r="O22" i="22"/>
  <c r="K22" i="22"/>
  <c r="N22" i="22" s="1"/>
  <c r="R22" i="22"/>
  <c r="S8" i="27" s="1"/>
  <c r="U8" i="27" s="1"/>
  <c r="O21" i="22"/>
  <c r="K21" i="22"/>
  <c r="N21" i="22" s="1"/>
  <c r="I9" i="22"/>
  <c r="O9" i="22" s="1"/>
  <c r="V24" i="51"/>
  <c r="C22" i="21"/>
  <c r="D22" i="21" s="1"/>
  <c r="F22" i="21" s="1"/>
  <c r="E22" i="21"/>
  <c r="C23" i="51"/>
  <c r="AI17" i="51"/>
  <c r="F5" i="16"/>
  <c r="O9" i="10"/>
  <c r="F4" i="19"/>
  <c r="F4" i="31"/>
  <c r="F4" i="18"/>
  <c r="F4" i="17"/>
  <c r="F3" i="24"/>
  <c r="O7" i="14"/>
  <c r="Q9" i="11"/>
  <c r="F4" i="32"/>
  <c r="G3" i="22"/>
  <c r="D3" i="25"/>
  <c r="F4" i="20"/>
  <c r="F4" i="30"/>
  <c r="G4" i="28"/>
  <c r="I6" i="24"/>
  <c r="M39" i="40"/>
  <c r="M30" i="40"/>
  <c r="M43" i="40"/>
  <c r="M37" i="40"/>
  <c r="M36" i="40"/>
  <c r="M62" i="40"/>
  <c r="M68" i="40"/>
  <c r="X55" i="14"/>
  <c r="R55" i="14" s="1"/>
  <c r="N55" i="14" s="1"/>
  <c r="K32" i="22"/>
  <c r="N32" i="22" s="1"/>
  <c r="K34" i="22"/>
  <c r="N34" i="22" s="1"/>
  <c r="O127" i="22"/>
  <c r="R23" i="22"/>
  <c r="S9" i="27" s="1"/>
  <c r="U9" i="27" s="1"/>
  <c r="R21" i="22"/>
  <c r="S7" i="27" s="1"/>
  <c r="U7" i="27" s="1"/>
  <c r="I10" i="22"/>
  <c r="K10" i="22" s="1"/>
  <c r="N10" i="22" s="1"/>
  <c r="P11" i="21"/>
  <c r="T26" i="21"/>
  <c r="J22" i="21"/>
  <c r="N152" i="22"/>
  <c r="H161" i="22" s="1"/>
  <c r="O94" i="22"/>
  <c r="O83" i="22"/>
  <c r="Q47" i="22"/>
  <c r="R47" i="22"/>
  <c r="S46" i="22"/>
  <c r="R46" i="22"/>
  <c r="O78" i="14"/>
  <c r="L78" i="14" s="1"/>
  <c r="E78" i="14"/>
  <c r="N73" i="14"/>
  <c r="K73" i="14" s="1"/>
  <c r="E73" i="14"/>
  <c r="F19" i="30"/>
  <c r="J15" i="4"/>
  <c r="C72" i="10"/>
  <c r="E72" i="10" s="1"/>
  <c r="F72" i="10" s="1"/>
  <c r="H72" i="10" s="1"/>
  <c r="L72" i="10" s="1"/>
  <c r="M19" i="31"/>
  <c r="O139" i="22"/>
  <c r="N135" i="22"/>
  <c r="N139" i="22" s="1"/>
  <c r="E34" i="24"/>
  <c r="J39" i="24" s="1"/>
  <c r="K25" i="27"/>
  <c r="B11" i="28"/>
  <c r="F45" i="17"/>
  <c r="G45" i="17" s="1"/>
  <c r="C54" i="17" s="1"/>
  <c r="J20" i="30"/>
  <c r="M19" i="30" s="1"/>
  <c r="D10" i="4"/>
  <c r="C1" i="51"/>
  <c r="S47" i="22"/>
  <c r="O34" i="22"/>
  <c r="Q46" i="22"/>
  <c r="AV55" i="21"/>
  <c r="AJ55" i="21"/>
  <c r="AE55" i="21"/>
  <c r="AE56" i="21"/>
  <c r="AD22" i="21"/>
  <c r="AB11" i="21" s="1"/>
  <c r="N117" i="22"/>
  <c r="R44" i="22"/>
  <c r="S44" i="22"/>
  <c r="H33" i="22"/>
  <c r="K33" i="22" s="1"/>
  <c r="N33" i="22" s="1"/>
  <c r="N78" i="14"/>
  <c r="K78" i="14" s="1"/>
  <c r="M73" i="14"/>
  <c r="O73" i="14"/>
  <c r="L73" i="14" s="1"/>
  <c r="O72" i="14"/>
  <c r="L72" i="14" s="1"/>
  <c r="N72" i="14"/>
  <c r="K31" i="11"/>
  <c r="K30" i="11"/>
  <c r="L30" i="11" s="1"/>
  <c r="C19" i="10"/>
  <c r="C34" i="10" s="1"/>
  <c r="C56" i="10" s="1"/>
  <c r="L50" i="11"/>
  <c r="L49" i="11"/>
  <c r="K31" i="30"/>
  <c r="M30" i="30" s="1"/>
  <c r="G39" i="30" s="1"/>
  <c r="D31" i="30"/>
  <c r="F30" i="30" s="1"/>
  <c r="B39" i="30" s="1"/>
  <c r="B90" i="37"/>
  <c r="B91" i="37"/>
  <c r="B87" i="37"/>
  <c r="B92" i="37"/>
  <c r="B88" i="37"/>
  <c r="N42" i="4"/>
  <c r="K30" i="24"/>
  <c r="K34" i="24" s="1"/>
  <c r="F39" i="24" s="1"/>
  <c r="AL45" i="24"/>
  <c r="D31" i="24"/>
  <c r="D34" i="24" s="1"/>
  <c r="E39" i="24" s="1"/>
  <c r="R25" i="24"/>
  <c r="Z25" i="24" s="1"/>
  <c r="N68" i="28"/>
  <c r="N23" i="22"/>
  <c r="S23" i="22"/>
  <c r="P12" i="22"/>
  <c r="K11" i="22"/>
  <c r="N11" i="22" s="1"/>
  <c r="O11" i="22"/>
  <c r="P10" i="22"/>
  <c r="N44" i="14"/>
  <c r="O44" i="14"/>
  <c r="K37" i="4" s="1"/>
  <c r="N37" i="4" s="1"/>
  <c r="U19" i="14"/>
  <c r="D27" i="4"/>
  <c r="U18" i="14"/>
  <c r="U16" i="14"/>
  <c r="H28" i="11"/>
  <c r="M18" i="4" s="1"/>
  <c r="G28" i="11"/>
  <c r="L21" i="10"/>
  <c r="K17" i="4" s="1"/>
  <c r="N17" i="4" s="1"/>
  <c r="O17" i="4" s="1"/>
  <c r="D17" i="4"/>
  <c r="M21" i="10"/>
  <c r="Q21" i="10" s="1"/>
  <c r="T21" i="10" s="1"/>
  <c r="L17" i="4" s="1"/>
  <c r="M36" i="10"/>
  <c r="G58" i="10"/>
  <c r="L19" i="10"/>
  <c r="K15" i="4" s="1"/>
  <c r="N15" i="4" s="1"/>
  <c r="O15" i="4" s="1"/>
  <c r="D15" i="4"/>
  <c r="M19" i="10"/>
  <c r="Q19" i="10" s="1"/>
  <c r="T19" i="10" s="1"/>
  <c r="L15" i="4" s="1"/>
  <c r="O34" i="10"/>
  <c r="E56" i="10" s="1"/>
  <c r="I56" i="10" s="1"/>
  <c r="O72" i="10" s="1"/>
  <c r="M33" i="10"/>
  <c r="L18" i="10"/>
  <c r="K14" i="4" s="1"/>
  <c r="N14" i="4" s="1"/>
  <c r="O14" i="4" s="1"/>
  <c r="O33" i="10"/>
  <c r="E55" i="10" s="1"/>
  <c r="I55" i="10" s="1"/>
  <c r="O71" i="10" s="1"/>
  <c r="O18" i="10"/>
  <c r="D14" i="4"/>
  <c r="X54" i="14"/>
  <c r="R54" i="14" s="1"/>
  <c r="N54" i="14" s="1"/>
  <c r="H51" i="11"/>
  <c r="H50" i="11"/>
  <c r="H49" i="11"/>
  <c r="N39" i="4"/>
  <c r="N38" i="4"/>
  <c r="E17" i="16"/>
  <c r="B36" i="16" s="1"/>
  <c r="H24" i="16"/>
  <c r="D36" i="16" s="1"/>
  <c r="H36" i="16" s="1"/>
  <c r="I36" i="16" s="1"/>
  <c r="M72" i="40"/>
  <c r="O117" i="22"/>
  <c r="V21" i="47"/>
  <c r="P47" i="4" s="1"/>
  <c r="J4" i="27"/>
  <c r="U4" i="27" s="1"/>
  <c r="J5" i="16"/>
  <c r="J4" i="32"/>
  <c r="C8" i="17"/>
  <c r="J4" i="17"/>
  <c r="J4" i="31"/>
  <c r="K24" i="22"/>
  <c r="R24" i="22"/>
  <c r="O24" i="22"/>
  <c r="P26" i="14"/>
  <c r="O26" i="14"/>
  <c r="K34" i="4" s="1"/>
  <c r="N34" i="4" s="1"/>
  <c r="U14" i="14"/>
  <c r="O16" i="14"/>
  <c r="K25" i="4" s="1"/>
  <c r="N25" i="4" s="1"/>
  <c r="P16" i="14"/>
  <c r="D25" i="4"/>
  <c r="E48" i="11"/>
  <c r="H48" i="11" s="1"/>
  <c r="I48" i="11"/>
  <c r="L48" i="11" s="1"/>
  <c r="P48" i="11"/>
  <c r="K19" i="4" s="1"/>
  <c r="N19" i="4" s="1"/>
  <c r="O19" i="4" s="1"/>
  <c r="D19" i="4"/>
  <c r="M32" i="10"/>
  <c r="O17" i="10"/>
  <c r="N41" i="4"/>
  <c r="N24" i="4"/>
  <c r="E47" i="11"/>
  <c r="H47" i="11" s="1"/>
  <c r="I47" i="11"/>
  <c r="L47" i="11" s="1"/>
  <c r="Q47" i="11"/>
  <c r="L18" i="4" s="1"/>
  <c r="P47" i="11"/>
  <c r="K18" i="4" s="1"/>
  <c r="N18" i="4" s="1"/>
  <c r="O18" i="4" s="1"/>
  <c r="D85" i="37"/>
  <c r="B110" i="37" s="1"/>
  <c r="D91" i="37"/>
  <c r="D93" i="37"/>
  <c r="M51" i="11"/>
  <c r="M48" i="11"/>
  <c r="S15" i="11"/>
  <c r="Q17" i="11"/>
  <c r="T17" i="11" s="1"/>
  <c r="S17" i="11"/>
  <c r="M50" i="11"/>
  <c r="M32" i="11"/>
  <c r="S14" i="11"/>
  <c r="M47" i="11"/>
  <c r="M49" i="11"/>
  <c r="N18" i="11"/>
  <c r="S32" i="11" s="1"/>
  <c r="N16" i="11"/>
  <c r="S30" i="11" s="1"/>
  <c r="N14" i="11"/>
  <c r="S28" i="11" s="1"/>
  <c r="Q14" i="11"/>
  <c r="T14" i="11" s="1"/>
  <c r="M20" i="40"/>
  <c r="M14" i="40"/>
  <c r="M46" i="40"/>
  <c r="M47" i="40"/>
  <c r="M11" i="40"/>
  <c r="M64" i="40"/>
  <c r="M5" i="40"/>
  <c r="M60" i="40"/>
  <c r="M12" i="40"/>
  <c r="M28" i="40"/>
  <c r="M6" i="40"/>
  <c r="M22" i="40"/>
  <c r="M38" i="40"/>
  <c r="M54" i="40"/>
  <c r="M70" i="40"/>
  <c r="M33" i="40"/>
  <c r="M57" i="40"/>
  <c r="E2" i="40"/>
  <c r="J4" i="4" s="1"/>
  <c r="A121" i="37" s="1"/>
  <c r="C121" i="37" s="1"/>
  <c r="M27" i="40"/>
  <c r="M53" i="40"/>
  <c r="M21" i="40"/>
  <c r="M49" i="40"/>
  <c r="M71" i="40"/>
  <c r="J2" i="40"/>
  <c r="P6" i="4" s="1"/>
  <c r="D58" i="10"/>
  <c r="H58" i="10" s="1"/>
  <c r="N74" i="10"/>
  <c r="D56" i="10"/>
  <c r="H56" i="10" s="1"/>
  <c r="N72" i="10"/>
  <c r="I2" i="40"/>
  <c r="M23" i="40"/>
  <c r="M56" i="40"/>
  <c r="M61" i="40"/>
  <c r="M7" i="40"/>
  <c r="M65" i="40"/>
  <c r="M55" i="40"/>
  <c r="M44" i="40"/>
  <c r="M29" i="40"/>
  <c r="M13" i="40"/>
  <c r="M69" i="40"/>
  <c r="M59" i="40"/>
  <c r="M48" i="40"/>
  <c r="M35" i="40"/>
  <c r="M19" i="40"/>
  <c r="M3" i="40"/>
  <c r="M73" i="40"/>
  <c r="M63" i="40"/>
  <c r="M52" i="40"/>
  <c r="M41" i="40"/>
  <c r="M25" i="40"/>
  <c r="M4" i="40"/>
  <c r="M74" i="40"/>
  <c r="M66" i="40"/>
  <c r="M58" i="40"/>
  <c r="M50" i="40"/>
  <c r="M42" i="40"/>
  <c r="M34" i="40"/>
  <c r="M26" i="40"/>
  <c r="M18" i="40"/>
  <c r="M10" i="40"/>
  <c r="M2" i="40"/>
  <c r="M40" i="40"/>
  <c r="M32" i="40"/>
  <c r="M24" i="40"/>
  <c r="M16" i="40"/>
  <c r="M8" i="40"/>
  <c r="D2" i="40"/>
  <c r="J3" i="4" s="1"/>
  <c r="P3" i="4" s="1"/>
  <c r="H2" i="40"/>
  <c r="P5" i="4" s="1"/>
  <c r="G2" i="40"/>
  <c r="C2" i="40"/>
  <c r="M6" i="4" s="1"/>
  <c r="F2" i="40"/>
  <c r="J5" i="4" s="1"/>
  <c r="H12" i="2" s="1"/>
  <c r="F16" i="2" s="1"/>
  <c r="K5" i="2"/>
  <c r="J7" i="4"/>
  <c r="L5" i="2" s="1"/>
  <c r="M9" i="40"/>
  <c r="M15" i="40"/>
  <c r="M31" i="40"/>
  <c r="M51" i="40"/>
  <c r="M67" i="40"/>
  <c r="S21" i="22" l="1"/>
  <c r="B113" i="37"/>
  <c r="B116" i="37"/>
  <c r="BI5" i="41" s="1"/>
  <c r="J14" i="10" s="1"/>
  <c r="B118" i="37"/>
  <c r="B112" i="37"/>
  <c r="AK6" i="44"/>
  <c r="AI6" i="44" s="1"/>
  <c r="S19" i="14" s="1"/>
  <c r="AK7" i="44"/>
  <c r="AI7" i="44" s="1"/>
  <c r="S20" i="14" s="1"/>
  <c r="V4" i="21"/>
  <c r="AT4" i="21"/>
  <c r="J72" i="10"/>
  <c r="M72" i="10" s="1"/>
  <c r="Q72" i="10" s="1"/>
  <c r="AK5" i="44"/>
  <c r="AI5" i="44" s="1"/>
  <c r="S18" i="14" s="1"/>
  <c r="I162" i="22"/>
  <c r="P49" i="4" s="1"/>
  <c r="D11" i="21"/>
  <c r="O10" i="22"/>
  <c r="J30" i="11"/>
  <c r="M30" i="11" s="1"/>
  <c r="O49" i="11" s="1"/>
  <c r="E71" i="14"/>
  <c r="K12" i="22"/>
  <c r="N12" i="22" s="1"/>
  <c r="H163" i="22"/>
  <c r="N73" i="10"/>
  <c r="Q73" i="10" s="1"/>
  <c r="AF4" i="45"/>
  <c r="S43" i="14" s="1"/>
  <c r="M43" i="14"/>
  <c r="K44" i="22"/>
  <c r="O44" i="22" s="1"/>
  <c r="AL25" i="24"/>
  <c r="O25" i="22"/>
  <c r="I159" i="22" s="1"/>
  <c r="P46" i="4" s="1"/>
  <c r="B36" i="31"/>
  <c r="E25" i="25"/>
  <c r="J26" i="2"/>
  <c r="F8" i="17"/>
  <c r="I29" i="11"/>
  <c r="J29" i="11" s="1"/>
  <c r="K29" i="11"/>
  <c r="L29" i="11" s="1"/>
  <c r="K47" i="22"/>
  <c r="O47" i="22" s="1"/>
  <c r="O77" i="14"/>
  <c r="L77" i="14" s="1"/>
  <c r="E77" i="14"/>
  <c r="M77" i="14"/>
  <c r="N77" i="14"/>
  <c r="K77" i="14" s="1"/>
  <c r="K9" i="22"/>
  <c r="N9" i="22" s="1"/>
  <c r="N13" i="22" s="1"/>
  <c r="H158" i="22" s="1"/>
  <c r="O45" i="4" s="1"/>
  <c r="L31" i="11"/>
  <c r="O71" i="14"/>
  <c r="L71" i="14" s="1"/>
  <c r="N71" i="14"/>
  <c r="K71" i="14" s="1"/>
  <c r="J31" i="11"/>
  <c r="L70" i="10"/>
  <c r="P70" i="10" s="1"/>
  <c r="P27" i="14"/>
  <c r="O27" i="14"/>
  <c r="K35" i="4" s="1"/>
  <c r="N35" i="4" s="1"/>
  <c r="O36" i="22"/>
  <c r="I160" i="22" s="1"/>
  <c r="N36" i="22"/>
  <c r="H160" i="22" s="1"/>
  <c r="S22" i="22"/>
  <c r="P9" i="22"/>
  <c r="P13" i="22" s="1"/>
  <c r="B22" i="18" s="1"/>
  <c r="D22" i="18" s="1"/>
  <c r="G22" i="18" s="1"/>
  <c r="C31" i="18" s="1"/>
  <c r="D240" i="37"/>
  <c r="E15" i="24" s="1"/>
  <c r="G15" i="24" s="1"/>
  <c r="I15" i="24" s="1"/>
  <c r="I39" i="24" s="1"/>
  <c r="L39" i="24" s="1"/>
  <c r="I48" i="24" s="1"/>
  <c r="L73" i="10"/>
  <c r="S73" i="10" s="1"/>
  <c r="R20" i="10" s="1"/>
  <c r="J74" i="10"/>
  <c r="M74" i="10" s="1"/>
  <c r="S74" i="10" s="1"/>
  <c r="R21" i="10" s="1"/>
  <c r="G38" i="30"/>
  <c r="D29" i="25"/>
  <c r="N70" i="10"/>
  <c r="Q70" i="10" s="1"/>
  <c r="D54" i="10"/>
  <c r="H54" i="10" s="1"/>
  <c r="S10" i="27"/>
  <c r="R25" i="22"/>
  <c r="C8" i="18"/>
  <c r="C8" i="19"/>
  <c r="C8" i="20"/>
  <c r="N71" i="10"/>
  <c r="D55" i="10"/>
  <c r="H55" i="10" s="1"/>
  <c r="I28" i="11"/>
  <c r="J28" i="11" s="1"/>
  <c r="K28" i="11"/>
  <c r="L28" i="11" s="1"/>
  <c r="J69" i="10"/>
  <c r="M69" i="10" s="1"/>
  <c r="Q69" i="10" s="1"/>
  <c r="L69" i="10"/>
  <c r="K72" i="14"/>
  <c r="G36" i="31"/>
  <c r="D25" i="25"/>
  <c r="J71" i="10"/>
  <c r="M71" i="10" s="1"/>
  <c r="S71" i="10" s="1"/>
  <c r="R18" i="10" s="1"/>
  <c r="N24" i="22"/>
  <c r="N25" i="22" s="1"/>
  <c r="H159" i="22" s="1"/>
  <c r="O46" i="4" s="1"/>
  <c r="S24" i="22"/>
  <c r="F36" i="16"/>
  <c r="O9" i="16" s="1"/>
  <c r="K36" i="16"/>
  <c r="L36" i="16" s="1"/>
  <c r="P71" i="10"/>
  <c r="O13" i="22"/>
  <c r="K46" i="22"/>
  <c r="O46" i="22" s="1"/>
  <c r="E29" i="25"/>
  <c r="B38" i="30"/>
  <c r="V22" i="21"/>
  <c r="AF26" i="21"/>
  <c r="G39" i="24"/>
  <c r="I47" i="24" s="1"/>
  <c r="T32" i="11"/>
  <c r="O51" i="11"/>
  <c r="T30" i="11"/>
  <c r="G12" i="2"/>
  <c r="E16" i="2" s="1"/>
  <c r="C20" i="2" s="1"/>
  <c r="C12" i="2"/>
  <c r="E11" i="28" s="1"/>
  <c r="B121" i="37"/>
  <c r="D121" i="37" s="1"/>
  <c r="C1" i="37"/>
  <c r="J64" i="37"/>
  <c r="J5" i="2"/>
  <c r="L11" i="21"/>
  <c r="AH17" i="51" s="1"/>
  <c r="J12" i="2"/>
  <c r="H16" i="2" s="1"/>
  <c r="L25" i="27"/>
  <c r="S38" i="27" s="1"/>
  <c r="S40" i="27" s="1"/>
  <c r="S45" i="27" s="1"/>
  <c r="H8" i="17"/>
  <c r="G11" i="28"/>
  <c r="I22" i="21"/>
  <c r="U22" i="21" s="1"/>
  <c r="AG22" i="21" s="1"/>
  <c r="AS22" i="21" s="1"/>
  <c r="H6" i="24"/>
  <c r="P74" i="10"/>
  <c r="P72" i="10"/>
  <c r="L19" i="14"/>
  <c r="L59" i="14"/>
  <c r="O59" i="14" s="1"/>
  <c r="K44" i="4" s="1"/>
  <c r="N44" i="4" s="1"/>
  <c r="L18" i="14"/>
  <c r="O18" i="14" s="1"/>
  <c r="K26" i="4" s="1"/>
  <c r="N26" i="4" s="1"/>
  <c r="L20" i="14"/>
  <c r="L22" i="14"/>
  <c r="L24" i="14"/>
  <c r="L45" i="14"/>
  <c r="L21" i="14"/>
  <c r="L23" i="14"/>
  <c r="L57" i="14"/>
  <c r="L58" i="14"/>
  <c r="L15" i="14"/>
  <c r="L25" i="14"/>
  <c r="F9" i="37"/>
  <c r="L56" i="14"/>
  <c r="L14" i="14"/>
  <c r="O14" i="14" s="1"/>
  <c r="K23" i="4" s="1"/>
  <c r="N23" i="4" s="1"/>
  <c r="L43" i="14"/>
  <c r="O43" i="14" s="1"/>
  <c r="K36" i="4" s="1"/>
  <c r="N36" i="4" s="1"/>
  <c r="L44" i="14"/>
  <c r="L16" i="14"/>
  <c r="F11" i="28"/>
  <c r="L21" i="27"/>
  <c r="G6" i="24"/>
  <c r="S72" i="10" l="1"/>
  <c r="R19" i="10" s="1"/>
  <c r="L86" i="14"/>
  <c r="O48" i="22"/>
  <c r="H162" i="22" s="1"/>
  <c r="N86" i="14"/>
  <c r="O86" i="14"/>
  <c r="C15" i="24" s="1"/>
  <c r="K86" i="14"/>
  <c r="M29" i="11"/>
  <c r="F8" i="19"/>
  <c r="H25" i="19" s="1"/>
  <c r="D38" i="19" s="1"/>
  <c r="D8" i="20"/>
  <c r="D8" i="18"/>
  <c r="J25" i="17"/>
  <c r="D34" i="17" s="1"/>
  <c r="O16" i="16"/>
  <c r="O14" i="16" s="1"/>
  <c r="C27" i="32"/>
  <c r="D27" i="32" s="1"/>
  <c r="J26" i="21"/>
  <c r="K7" i="14"/>
  <c r="X7" i="14" s="1"/>
  <c r="K26" i="27"/>
  <c r="M28" i="11"/>
  <c r="M31" i="11"/>
  <c r="S70" i="10"/>
  <c r="R17" i="10" s="1"/>
  <c r="P73" i="10"/>
  <c r="R73" i="10" s="1"/>
  <c r="Q74" i="10"/>
  <c r="R74" i="10" s="1"/>
  <c r="R70" i="10"/>
  <c r="B25" i="17"/>
  <c r="D25" i="17" s="1"/>
  <c r="G25" i="17" s="1"/>
  <c r="C34" i="17" s="1"/>
  <c r="R72" i="10"/>
  <c r="I65" i="24"/>
  <c r="J49" i="24" s="1"/>
  <c r="G47" i="24"/>
  <c r="I68" i="24"/>
  <c r="I62" i="24"/>
  <c r="K62" i="24"/>
  <c r="G48" i="24"/>
  <c r="K65" i="24"/>
  <c r="K68" i="24"/>
  <c r="Q71" i="10"/>
  <c r="R71" i="10" s="1"/>
  <c r="L7" i="27"/>
  <c r="G6" i="49"/>
  <c r="E6" i="49" s="1"/>
  <c r="G8" i="49" s="1"/>
  <c r="E11" i="27" s="1"/>
  <c r="AR26" i="21"/>
  <c r="AT22" i="21" s="1"/>
  <c r="AH22" i="21"/>
  <c r="B24" i="16"/>
  <c r="E24" i="16" s="1"/>
  <c r="C36" i="16" s="1"/>
  <c r="B25" i="19"/>
  <c r="E25" i="19" s="1"/>
  <c r="C38" i="19" s="1"/>
  <c r="B22" i="20"/>
  <c r="E22" i="20" s="1"/>
  <c r="C35" i="20" s="1"/>
  <c r="K159" i="22"/>
  <c r="P69" i="10"/>
  <c r="R69" i="10" s="1"/>
  <c r="S69" i="10"/>
  <c r="R16" i="10" s="1"/>
  <c r="U10" i="27"/>
  <c r="U12" i="27" s="1"/>
  <c r="S11" i="27"/>
  <c r="D26" i="2"/>
  <c r="H25" i="27" s="1"/>
  <c r="J25" i="27" s="1"/>
  <c r="H7" i="14"/>
  <c r="T5" i="14" s="1"/>
  <c r="G183" i="37"/>
  <c r="J184" i="37" s="1"/>
  <c r="C184" i="37" s="1"/>
  <c r="C122" i="37"/>
  <c r="S16" i="14" s="1"/>
  <c r="E8" i="17"/>
  <c r="E8" i="19" s="1"/>
  <c r="K16" i="19" s="1"/>
  <c r="M16" i="19" s="1"/>
  <c r="B38" i="19" s="1"/>
  <c r="K12" i="2"/>
  <c r="P4" i="4"/>
  <c r="K25" i="2"/>
  <c r="I20" i="2"/>
  <c r="E10" i="10"/>
  <c r="F7" i="14"/>
  <c r="D8" i="17"/>
  <c r="D8" i="19" s="1"/>
  <c r="F10" i="11"/>
  <c r="P45" i="10"/>
  <c r="D97" i="37"/>
  <c r="I69" i="37"/>
  <c r="I68" i="37"/>
  <c r="I71" i="37"/>
  <c r="K64" i="37"/>
  <c r="I65" i="37"/>
  <c r="I72" i="37"/>
  <c r="I66" i="37"/>
  <c r="I64" i="37"/>
  <c r="I67" i="37"/>
  <c r="I70" i="37"/>
  <c r="I73" i="37"/>
  <c r="X5" i="14"/>
  <c r="E8" i="20"/>
  <c r="M22" i="20" s="1"/>
  <c r="E8" i="18"/>
  <c r="H8" i="19"/>
  <c r="O50" i="11" l="1"/>
  <c r="T31" i="11"/>
  <c r="J22" i="18"/>
  <c r="D31" i="18" s="1"/>
  <c r="E15" i="18"/>
  <c r="B31" i="18" s="1"/>
  <c r="E31" i="18" s="1"/>
  <c r="O8" i="18" s="1"/>
  <c r="T28" i="11"/>
  <c r="O47" i="11"/>
  <c r="E15" i="20"/>
  <c r="B35" i="20" s="1"/>
  <c r="F35" i="20" s="1"/>
  <c r="O8" i="20" s="1"/>
  <c r="H22" i="20"/>
  <c r="D35" i="20" s="1"/>
  <c r="T3" i="14"/>
  <c r="T29" i="11"/>
  <c r="O48" i="11"/>
  <c r="V26" i="21"/>
  <c r="K22" i="21"/>
  <c r="F17" i="16"/>
  <c r="I24" i="16"/>
  <c r="H185" i="37"/>
  <c r="B185" i="37" s="1"/>
  <c r="AA16" i="14"/>
  <c r="C47" i="19"/>
  <c r="D47" i="19" s="1"/>
  <c r="B61" i="19" s="1"/>
  <c r="K16" i="17"/>
  <c r="M16" i="17" s="1"/>
  <c r="B34" i="17" s="1"/>
  <c r="E34" i="17" s="1"/>
  <c r="O8" i="17" s="1"/>
  <c r="J47" i="24"/>
  <c r="K47" i="24" s="1"/>
  <c r="K50" i="4" s="1"/>
  <c r="J48" i="24"/>
  <c r="K48" i="24" s="1"/>
  <c r="L50" i="4" s="1"/>
  <c r="F38" i="19"/>
  <c r="O8" i="19" s="1"/>
  <c r="C45" i="17"/>
  <c r="D45" i="17" s="1"/>
  <c r="B54" i="17" s="1"/>
  <c r="D54" i="17" s="1"/>
  <c r="O42" i="17" s="1"/>
  <c r="AA19" i="14"/>
  <c r="Z43" i="14" s="1"/>
  <c r="V43" i="14" s="1"/>
  <c r="N185" i="37"/>
  <c r="E185" i="37" s="1"/>
  <c r="H188" i="37"/>
  <c r="B188" i="37" s="1"/>
  <c r="N188" i="37"/>
  <c r="E188" i="37" s="1"/>
  <c r="N186" i="37"/>
  <c r="E186" i="37" s="1"/>
  <c r="H189" i="37"/>
  <c r="B189" i="37" s="1"/>
  <c r="V18" i="14"/>
  <c r="L185" i="37"/>
  <c r="D185" i="37" s="1"/>
  <c r="L187" i="37"/>
  <c r="D187" i="37" s="1"/>
  <c r="L184" i="37"/>
  <c r="D184" i="37" s="1"/>
  <c r="J185" i="37"/>
  <c r="C185" i="37" s="1"/>
  <c r="H184" i="37"/>
  <c r="B184" i="37" s="1"/>
  <c r="H187" i="37"/>
  <c r="B187" i="37" s="1"/>
  <c r="AA18" i="14"/>
  <c r="E15" i="27"/>
  <c r="C25" i="27"/>
  <c r="M25" i="27" s="1"/>
  <c r="N53" i="4" s="1"/>
  <c r="D27" i="2"/>
  <c r="F10" i="10" s="1"/>
  <c r="D9" i="25"/>
  <c r="D35" i="25" s="1"/>
  <c r="S14" i="14"/>
  <c r="AA15" i="14"/>
  <c r="AA17" i="14"/>
  <c r="N189" i="37"/>
  <c r="E189" i="37" s="1"/>
  <c r="L188" i="37"/>
  <c r="D188" i="37" s="1"/>
  <c r="L189" i="37"/>
  <c r="D189" i="37" s="1"/>
  <c r="N184" i="37"/>
  <c r="E184" i="37" s="1"/>
  <c r="N187" i="37"/>
  <c r="E187" i="37" s="1"/>
  <c r="L186" i="37"/>
  <c r="D186" i="37" s="1"/>
  <c r="J189" i="37"/>
  <c r="C189" i="37" s="1"/>
  <c r="H186" i="37"/>
  <c r="B186" i="37" s="1"/>
  <c r="J187" i="37"/>
  <c r="C187" i="37" s="1"/>
  <c r="J188" i="37"/>
  <c r="C188" i="37" s="1"/>
  <c r="J186" i="37"/>
  <c r="C186" i="37" s="1"/>
  <c r="S15" i="14"/>
  <c r="G8" i="17"/>
  <c r="D20" i="2"/>
  <c r="L25" i="2" s="1"/>
  <c r="L7" i="14" s="1"/>
  <c r="W18" i="14" s="1"/>
  <c r="G16" i="2"/>
  <c r="H20" i="2" s="1"/>
  <c r="J25" i="2" s="1"/>
  <c r="J7" i="14" s="1"/>
  <c r="X6" i="14" s="1"/>
  <c r="P58" i="10"/>
  <c r="Q22" i="14"/>
  <c r="L30" i="4" s="1"/>
  <c r="O30" i="4" s="1"/>
  <c r="Q27" i="14"/>
  <c r="L35" i="4" s="1"/>
  <c r="O35" i="4" s="1"/>
  <c r="Q55" i="14"/>
  <c r="L40" i="4" s="1"/>
  <c r="O40" i="4" s="1"/>
  <c r="P57" i="10"/>
  <c r="P53" i="10"/>
  <c r="Q59" i="14"/>
  <c r="L44" i="4" s="1"/>
  <c r="O44" i="4" s="1"/>
  <c r="Q54" i="14"/>
  <c r="L39" i="4" s="1"/>
  <c r="O39" i="4" s="1"/>
  <c r="P56" i="10"/>
  <c r="Q44" i="14"/>
  <c r="L37" i="4" s="1"/>
  <c r="O37" i="4" s="1"/>
  <c r="Q24" i="14"/>
  <c r="L32" i="4" s="1"/>
  <c r="O32" i="4" s="1"/>
  <c r="Q23" i="14"/>
  <c r="L31" i="4" s="1"/>
  <c r="O31" i="4" s="1"/>
  <c r="Q57" i="14"/>
  <c r="L42" i="4" s="1"/>
  <c r="O42" i="4" s="1"/>
  <c r="Q45" i="14"/>
  <c r="L38" i="4" s="1"/>
  <c r="O38" i="4" s="1"/>
  <c r="Q26" i="14"/>
  <c r="L34" i="4" s="1"/>
  <c r="O34" i="4" s="1"/>
  <c r="Q15" i="14"/>
  <c r="L24" i="4" s="1"/>
  <c r="O24" i="4" s="1"/>
  <c r="P55" i="10"/>
  <c r="Q25" i="14"/>
  <c r="L33" i="4" s="1"/>
  <c r="O33" i="4" s="1"/>
  <c r="Q58" i="14"/>
  <c r="L43" i="4" s="1"/>
  <c r="O43" i="4" s="1"/>
  <c r="Q21" i="14"/>
  <c r="L29" i="4" s="1"/>
  <c r="O29" i="4" s="1"/>
  <c r="P54" i="10"/>
  <c r="Q16" i="14"/>
  <c r="L25" i="4" s="1"/>
  <c r="O25" i="4" s="1"/>
  <c r="Q56" i="14"/>
  <c r="L41" i="4" s="1"/>
  <c r="O41" i="4" s="1"/>
  <c r="B97" i="37"/>
  <c r="B105" i="37"/>
  <c r="C105" i="37" s="1"/>
  <c r="B100" i="37"/>
  <c r="C100" i="37" s="1"/>
  <c r="B98" i="37"/>
  <c r="C98" i="37" s="1"/>
  <c r="B99" i="37"/>
  <c r="C99" i="37" s="1"/>
  <c r="B103" i="37"/>
  <c r="C103" i="37" s="1"/>
  <c r="B104" i="37"/>
  <c r="C104" i="37" s="1"/>
  <c r="B102" i="37"/>
  <c r="C102" i="37" s="1"/>
  <c r="B101" i="37"/>
  <c r="C101" i="37" s="1"/>
  <c r="K66" i="37"/>
  <c r="J66" i="37" s="1"/>
  <c r="K69" i="37"/>
  <c r="J69" i="37" s="1"/>
  <c r="K71" i="37"/>
  <c r="J71" i="37" s="1"/>
  <c r="E103" i="37"/>
  <c r="F103" i="37" s="1"/>
  <c r="K65" i="37"/>
  <c r="J65" i="37" s="1"/>
  <c r="E102" i="37"/>
  <c r="F102" i="37" s="1"/>
  <c r="K70" i="37"/>
  <c r="J70" i="37" s="1"/>
  <c r="E100" i="37"/>
  <c r="F100" i="37" s="1"/>
  <c r="K68" i="37"/>
  <c r="J68" i="37" s="1"/>
  <c r="K67" i="37"/>
  <c r="J67" i="37" s="1"/>
  <c r="E98" i="37"/>
  <c r="F98" i="37" s="1"/>
  <c r="E101" i="37"/>
  <c r="F101" i="37" s="1"/>
  <c r="E99" i="37"/>
  <c r="F99" i="37" s="1"/>
  <c r="E105" i="37"/>
  <c r="F105" i="37" s="1"/>
  <c r="E104" i="37"/>
  <c r="F104" i="37" s="1"/>
  <c r="K73" i="37"/>
  <c r="J73" i="37" s="1"/>
  <c r="K72" i="37"/>
  <c r="J72" i="37" s="1"/>
  <c r="E97" i="37"/>
  <c r="M48" i="28"/>
  <c r="F6" i="24"/>
  <c r="G34" i="17"/>
  <c r="M34" i="17" s="1"/>
  <c r="H27" i="27"/>
  <c r="J27" i="27" s="1"/>
  <c r="F9" i="25"/>
  <c r="F61" i="19"/>
  <c r="M25" i="19"/>
  <c r="L47" i="19"/>
  <c r="D61" i="19" s="1"/>
  <c r="E35" i="20"/>
  <c r="G35" i="20"/>
  <c r="D37" i="25"/>
  <c r="D15" i="25"/>
  <c r="E61" i="19" l="1"/>
  <c r="O44" i="19" s="1"/>
  <c r="W22" i="21"/>
  <c r="AH26" i="21"/>
  <c r="D39" i="25"/>
  <c r="D31" i="25"/>
  <c r="I25" i="27"/>
  <c r="BF6" i="41"/>
  <c r="I15" i="10" s="1"/>
  <c r="BF5" i="41"/>
  <c r="I14" i="10" s="1"/>
  <c r="X20" i="14"/>
  <c r="N20" i="14" s="1"/>
  <c r="P20" i="14" s="1"/>
  <c r="Q20" i="14" s="1"/>
  <c r="L28" i="4" s="1"/>
  <c r="O28" i="4" s="1"/>
  <c r="I30" i="10"/>
  <c r="I29" i="10"/>
  <c r="L15" i="10"/>
  <c r="K11" i="4" s="1"/>
  <c r="N11" i="4" s="1"/>
  <c r="L14" i="10"/>
  <c r="K10" i="4" s="1"/>
  <c r="N10" i="4" s="1"/>
  <c r="J11" i="28"/>
  <c r="L49" i="24"/>
  <c r="P50" i="4" s="1"/>
  <c r="M27" i="27"/>
  <c r="P53" i="4" s="1"/>
  <c r="X19" i="14"/>
  <c r="N19" i="14" s="1"/>
  <c r="P19" i="14" s="1"/>
  <c r="Q19" i="14" s="1"/>
  <c r="L27" i="4" s="1"/>
  <c r="O27" i="4" s="1"/>
  <c r="D6" i="24"/>
  <c r="L47" i="24" s="1"/>
  <c r="N50" i="4" s="1"/>
  <c r="D14" i="25"/>
  <c r="D34" i="25"/>
  <c r="D41" i="25"/>
  <c r="X23" i="14"/>
  <c r="N23" i="14" s="1"/>
  <c r="G10" i="11"/>
  <c r="K11" i="28"/>
  <c r="M53" i="4"/>
  <c r="X21" i="14"/>
  <c r="N21" i="14" s="1"/>
  <c r="X18" i="14"/>
  <c r="N18" i="14" s="1"/>
  <c r="P18" i="14" s="1"/>
  <c r="Q18" i="14" s="1"/>
  <c r="L26" i="4" s="1"/>
  <c r="O26" i="4" s="1"/>
  <c r="L13" i="14"/>
  <c r="L31" i="14" s="1"/>
  <c r="G7" i="14"/>
  <c r="J27" i="2"/>
  <c r="I26" i="27" s="1"/>
  <c r="X25" i="14"/>
  <c r="N25" i="14" s="1"/>
  <c r="X24" i="14"/>
  <c r="N24" i="14" s="1"/>
  <c r="X22" i="14"/>
  <c r="N22" i="14" s="1"/>
  <c r="D98" i="37"/>
  <c r="E12" i="25"/>
  <c r="E14" i="25" s="1"/>
  <c r="G8" i="19"/>
  <c r="F8" i="18"/>
  <c r="H26" i="27"/>
  <c r="J26" i="27" s="1"/>
  <c r="M26" i="27" s="1"/>
  <c r="O53" i="4" s="1"/>
  <c r="W45" i="14"/>
  <c r="X45" i="14" s="1"/>
  <c r="R45" i="14" s="1"/>
  <c r="W43" i="14"/>
  <c r="X43" i="14" s="1"/>
  <c r="R43" i="14" s="1"/>
  <c r="N43" i="14" s="1"/>
  <c r="P43" i="14" s="1"/>
  <c r="Q43" i="14" s="1"/>
  <c r="L36" i="4" s="1"/>
  <c r="O36" i="4" s="1"/>
  <c r="W44" i="14"/>
  <c r="X44" i="14" s="1"/>
  <c r="R44" i="14" s="1"/>
  <c r="AU8" i="38"/>
  <c r="AU4" i="38"/>
  <c r="BA19" i="38"/>
  <c r="AU6" i="38"/>
  <c r="AU7" i="38"/>
  <c r="AU9" i="38"/>
  <c r="AU5" i="38"/>
  <c r="AO9" i="38"/>
  <c r="AO4" i="38"/>
  <c r="AO5" i="38"/>
  <c r="AO8" i="38"/>
  <c r="AO7" i="38"/>
  <c r="AU19" i="38"/>
  <c r="AO6" i="38"/>
  <c r="F14" i="25"/>
  <c r="F31" i="25"/>
  <c r="F34" i="25"/>
  <c r="F41" i="25"/>
  <c r="F37" i="25"/>
  <c r="O12" i="17"/>
  <c r="C30" i="31" s="1"/>
  <c r="F30" i="31" s="1"/>
  <c r="H23" i="25"/>
  <c r="AX4" i="38"/>
  <c r="AX9" i="38"/>
  <c r="AX5" i="38"/>
  <c r="BD19" i="38"/>
  <c r="AX8" i="38"/>
  <c r="AX6" i="38"/>
  <c r="AX7" i="38"/>
  <c r="D102" i="37"/>
  <c r="D103" i="37"/>
  <c r="D105" i="37"/>
  <c r="BA4" i="38"/>
  <c r="BA6" i="38"/>
  <c r="BA7" i="38"/>
  <c r="BG19" i="38"/>
  <c r="BA5" i="38"/>
  <c r="BA9" i="38"/>
  <c r="BA8" i="38"/>
  <c r="AX19" i="38"/>
  <c r="AR4" i="38"/>
  <c r="AR7" i="38"/>
  <c r="AR5" i="38"/>
  <c r="AR9" i="38"/>
  <c r="AR8" i="38"/>
  <c r="AR6" i="38"/>
  <c r="D101" i="37"/>
  <c r="D104" i="37"/>
  <c r="D99" i="37"/>
  <c r="D100" i="37"/>
  <c r="E19" i="25"/>
  <c r="G38" i="19"/>
  <c r="E38" i="19"/>
  <c r="AA14" i="14"/>
  <c r="AA22" i="14"/>
  <c r="V14" i="14"/>
  <c r="AA21" i="14"/>
  <c r="L11" i="28" l="1"/>
  <c r="M11" i="28" s="1"/>
  <c r="N11" i="28" s="1"/>
  <c r="AI22" i="21"/>
  <c r="AT26" i="21"/>
  <c r="AU22" i="21" s="1"/>
  <c r="E6" i="24"/>
  <c r="L48" i="24" s="1"/>
  <c r="O50" i="4" s="1"/>
  <c r="O52" i="10"/>
  <c r="O51" i="10"/>
  <c r="E67" i="10"/>
  <c r="F67" i="10" s="1"/>
  <c r="H67" i="10" s="1"/>
  <c r="E68" i="10"/>
  <c r="F68" i="10" s="1"/>
  <c r="H68" i="10" s="1"/>
  <c r="G22" i="21"/>
  <c r="G11" i="21" s="1"/>
  <c r="S11" i="21" s="1"/>
  <c r="AE11" i="21" s="1"/>
  <c r="L42" i="14"/>
  <c r="L53" i="14" s="1"/>
  <c r="E10" i="25"/>
  <c r="E31" i="25"/>
  <c r="G10" i="10"/>
  <c r="M29" i="10" s="1"/>
  <c r="O29" i="10" s="1"/>
  <c r="E51" i="10" s="1"/>
  <c r="I51" i="10" s="1"/>
  <c r="O67" i="10" s="1"/>
  <c r="H10" i="11"/>
  <c r="L17" i="14"/>
  <c r="E11" i="25"/>
  <c r="E41" i="25"/>
  <c r="E9" i="25"/>
  <c r="E17" i="25"/>
  <c r="E16" i="25"/>
  <c r="E15" i="25"/>
  <c r="E34" i="25"/>
  <c r="E18" i="25"/>
  <c r="F25" i="25"/>
  <c r="B37" i="31"/>
  <c r="X15" i="14"/>
  <c r="N15" i="14" s="1"/>
  <c r="X14" i="14"/>
  <c r="N14" i="14" s="1"/>
  <c r="P14" i="14" s="1"/>
  <c r="Q14" i="14" s="1"/>
  <c r="L23" i="4" s="1"/>
  <c r="O23" i="4" s="1"/>
  <c r="X16" i="14"/>
  <c r="N16" i="14" s="1"/>
  <c r="Z57" i="14"/>
  <c r="V57" i="14" s="1"/>
  <c r="X57" i="14" s="1"/>
  <c r="R57" i="14" s="1"/>
  <c r="N57" i="14" s="1"/>
  <c r="Z56" i="14"/>
  <c r="V56" i="14" s="1"/>
  <c r="X56" i="14" s="1"/>
  <c r="R56" i="14" s="1"/>
  <c r="N56" i="14" s="1"/>
  <c r="M14" i="10" l="1"/>
  <c r="M15" i="10"/>
  <c r="M30" i="10"/>
  <c r="O30" i="10" s="1"/>
  <c r="E52" i="10" s="1"/>
  <c r="I52" i="10" s="1"/>
  <c r="O68" i="10" s="1"/>
  <c r="L67" i="10"/>
  <c r="P67" i="10" s="1"/>
  <c r="J67" i="10"/>
  <c r="M67" i="10" s="1"/>
  <c r="L68" i="10"/>
  <c r="J68" i="10"/>
  <c r="M68" i="10" s="1"/>
  <c r="AQ11" i="21"/>
  <c r="P68" i="10" l="1"/>
  <c r="Q15" i="10"/>
  <c r="O15" i="10"/>
  <c r="Q14" i="10"/>
  <c r="O14" i="10"/>
  <c r="N68" i="10" l="1"/>
  <c r="Q68" i="10" s="1"/>
  <c r="R68" i="10" s="1"/>
  <c r="S68" i="10" s="1"/>
  <c r="D52" i="10"/>
  <c r="N67" i="10"/>
  <c r="Q67" i="10" s="1"/>
  <c r="R67" i="10" s="1"/>
  <c r="S67" i="10" s="1"/>
  <c r="D51" i="10"/>
  <c r="R15" i="10" l="1"/>
  <c r="T15" i="10" s="1"/>
  <c r="L11" i="4" s="1"/>
  <c r="O11" i="4" s="1"/>
  <c r="P52" i="10"/>
  <c r="H52" i="10"/>
  <c r="G52" i="10"/>
  <c r="H51" i="10"/>
  <c r="G51" i="10"/>
  <c r="R14" i="10"/>
  <c r="T14" i="10" s="1"/>
  <c r="L10" i="4" s="1"/>
  <c r="O10" i="4" s="1"/>
  <c r="P51" i="10"/>
  <c r="V37" i="47" l="1"/>
  <c r="P33" i="28"/>
  <c r="P34" i="28" s="1"/>
  <c r="H36" i="28" s="1"/>
  <c r="I40" i="28" s="1"/>
  <c r="U38" i="47" l="1"/>
  <c r="S38" i="47" s="1"/>
  <c r="S41" i="47" s="1"/>
  <c r="O54" i="4" s="1"/>
  <c r="Q40" i="28"/>
  <c r="U37" i="47"/>
  <c r="S37" i="47" s="1"/>
  <c r="O49" i="4" s="1"/>
  <c r="N40" i="28"/>
  <c r="S40" i="28" s="1"/>
  <c r="R40" i="28" l="1"/>
  <c r="R54" i="28" s="1"/>
  <c r="Q54" i="28"/>
  <c r="I36" i="28" s="1"/>
  <c r="H22" i="21"/>
  <c r="I11" i="21" s="1"/>
  <c r="C43" i="24"/>
  <c r="J24" i="16"/>
  <c r="L24" i="16" s="1"/>
  <c r="M24" i="16" s="1"/>
  <c r="E36" i="16" s="1"/>
  <c r="AG11" i="21" l="1"/>
  <c r="U11" i="21"/>
  <c r="AS11" i="21"/>
  <c r="O26" i="51"/>
  <c r="J36" i="28"/>
  <c r="S26" i="51" l="1"/>
  <c r="J11" i="21" s="1"/>
  <c r="S27" i="51"/>
  <c r="A264" i="51" l="1"/>
  <c r="A114" i="51"/>
  <c r="A164" i="51"/>
  <c r="A214" i="51"/>
  <c r="A314" i="51"/>
  <c r="I130" i="51" l="1"/>
  <c r="I137" i="51"/>
  <c r="I139" i="51"/>
  <c r="I141" i="51"/>
  <c r="S129" i="51"/>
  <c r="S131" i="51"/>
  <c r="S128" i="51"/>
  <c r="P128" i="51"/>
  <c r="P130" i="51"/>
  <c r="P132" i="51"/>
  <c r="P116" i="51"/>
  <c r="P118" i="51"/>
  <c r="P120" i="51"/>
  <c r="P122" i="51"/>
  <c r="P115" i="51"/>
  <c r="I117" i="51"/>
  <c r="I119" i="51"/>
  <c r="I121" i="51"/>
  <c r="I123" i="51"/>
  <c r="I125" i="51"/>
  <c r="I127" i="51"/>
  <c r="B114" i="51"/>
  <c r="B146" i="51"/>
  <c r="B135" i="51"/>
  <c r="B137" i="51"/>
  <c r="B139" i="51"/>
  <c r="B141" i="51"/>
  <c r="B116" i="51"/>
  <c r="B118" i="51"/>
  <c r="B120" i="51"/>
  <c r="B122" i="51"/>
  <c r="B124" i="51"/>
  <c r="B126" i="51"/>
  <c r="I136" i="51"/>
  <c r="I138" i="51"/>
  <c r="I140" i="51"/>
  <c r="I135" i="51"/>
  <c r="S130" i="51"/>
  <c r="S132" i="51"/>
  <c r="P127" i="51"/>
  <c r="P129" i="51"/>
  <c r="P131" i="51"/>
  <c r="P126" i="51"/>
  <c r="P117" i="51"/>
  <c r="P119" i="51"/>
  <c r="P121" i="51"/>
  <c r="P123" i="51"/>
  <c r="I116" i="51"/>
  <c r="I118" i="51"/>
  <c r="I120" i="51"/>
  <c r="I122" i="51"/>
  <c r="I124" i="51"/>
  <c r="I126" i="51"/>
  <c r="I115" i="51"/>
  <c r="B144" i="51"/>
  <c r="B130" i="51"/>
  <c r="B136" i="51"/>
  <c r="B138" i="51"/>
  <c r="B140" i="51"/>
  <c r="B129" i="51"/>
  <c r="B117" i="51"/>
  <c r="B119" i="51"/>
  <c r="B121" i="51"/>
  <c r="B123" i="51"/>
  <c r="B125" i="51"/>
  <c r="B115" i="51"/>
  <c r="J169" i="51"/>
  <c r="N181" i="51"/>
  <c r="N169" i="51"/>
  <c r="F190" i="51"/>
  <c r="U170" i="51"/>
  <c r="M169" i="51"/>
  <c r="U167" i="51"/>
  <c r="C190" i="51"/>
  <c r="M198" i="51"/>
  <c r="T171" i="51"/>
  <c r="N168" i="51"/>
  <c r="E191" i="51"/>
  <c r="G170" i="51"/>
  <c r="L194" i="51"/>
  <c r="M166" i="51"/>
  <c r="Q171" i="51"/>
  <c r="N180" i="51"/>
  <c r="G172" i="51"/>
  <c r="F174" i="51"/>
  <c r="S169" i="51"/>
  <c r="F168" i="51"/>
  <c r="L188" i="51"/>
  <c r="B172" i="51"/>
  <c r="L187" i="51"/>
  <c r="B168" i="51"/>
  <c r="F173" i="51"/>
  <c r="B185" i="51"/>
  <c r="S178" i="51"/>
  <c r="Q172" i="51"/>
  <c r="Q168" i="51"/>
  <c r="R173" i="51"/>
  <c r="E171" i="51"/>
  <c r="D174" i="51"/>
  <c r="F186" i="51"/>
  <c r="B175" i="51"/>
  <c r="H199" i="51"/>
  <c r="P177" i="51"/>
  <c r="M175" i="51"/>
  <c r="L175" i="51"/>
  <c r="D170" i="51"/>
  <c r="F199" i="51"/>
  <c r="I167" i="51"/>
  <c r="U169" i="51"/>
  <c r="Q167" i="51"/>
  <c r="R168" i="51"/>
  <c r="T172" i="51"/>
  <c r="C187" i="51"/>
  <c r="E174" i="51"/>
  <c r="F170" i="51"/>
  <c r="I199" i="51"/>
  <c r="K175" i="51"/>
  <c r="P170" i="51"/>
  <c r="N176" i="51"/>
  <c r="P181" i="51"/>
  <c r="P172" i="51"/>
  <c r="U173" i="51"/>
  <c r="Q170" i="51"/>
  <c r="L168" i="51"/>
  <c r="B170" i="51"/>
  <c r="N198" i="51"/>
  <c r="N173" i="51"/>
  <c r="M200" i="51"/>
  <c r="F189" i="51"/>
  <c r="D186" i="51"/>
  <c r="B189" i="51"/>
  <c r="L172" i="51"/>
  <c r="N175" i="51"/>
  <c r="S173" i="51"/>
  <c r="E180" i="51"/>
  <c r="L181" i="51"/>
  <c r="C169" i="51"/>
  <c r="B174" i="51"/>
  <c r="C170" i="51"/>
  <c r="C176" i="51"/>
  <c r="B199" i="51"/>
  <c r="K166" i="51"/>
  <c r="F176" i="51"/>
  <c r="B166" i="51"/>
  <c r="J188" i="51"/>
  <c r="M180" i="51"/>
  <c r="C188" i="51"/>
  <c r="B173" i="51"/>
  <c r="B191" i="51"/>
  <c r="R172" i="51"/>
  <c r="F180" i="51"/>
  <c r="I175" i="51"/>
  <c r="L186" i="51"/>
  <c r="D180" i="51"/>
  <c r="K188" i="51"/>
  <c r="I165" i="51"/>
  <c r="T166" i="51"/>
  <c r="C175" i="51"/>
  <c r="N167" i="51"/>
  <c r="C166" i="51"/>
  <c r="R171" i="51"/>
  <c r="N200" i="51"/>
  <c r="P179" i="51"/>
  <c r="I168" i="51"/>
  <c r="R169" i="51"/>
  <c r="D169" i="51"/>
  <c r="G168" i="51"/>
  <c r="D172" i="51"/>
  <c r="B171" i="51"/>
  <c r="L189" i="51"/>
  <c r="S170" i="51"/>
  <c r="I170" i="51"/>
  <c r="D167" i="51"/>
  <c r="K169" i="51"/>
  <c r="F188" i="51"/>
  <c r="C199" i="51"/>
  <c r="J186" i="51"/>
  <c r="L176" i="51"/>
  <c r="S167" i="51"/>
  <c r="M195" i="51"/>
  <c r="D173" i="51"/>
  <c r="G166" i="51"/>
  <c r="G174" i="51"/>
  <c r="E172" i="51"/>
  <c r="S172" i="51"/>
  <c r="C173" i="51"/>
  <c r="M173" i="51"/>
  <c r="P169" i="51"/>
  <c r="E176" i="51"/>
  <c r="I166" i="51"/>
  <c r="L177" i="51"/>
  <c r="Q165" i="51"/>
  <c r="E170" i="51"/>
  <c r="J189" i="51"/>
  <c r="C191" i="51"/>
  <c r="E179" i="51"/>
  <c r="C189" i="51"/>
  <c r="I186" i="51"/>
  <c r="D199" i="51"/>
  <c r="L174" i="51"/>
  <c r="Q166" i="51"/>
  <c r="J187" i="51"/>
  <c r="G199" i="51"/>
  <c r="F175" i="51"/>
  <c r="K190" i="51"/>
  <c r="K172" i="51"/>
  <c r="L173" i="51"/>
  <c r="K191" i="51"/>
  <c r="T170" i="51"/>
  <c r="N195" i="51"/>
  <c r="Q177" i="51"/>
  <c r="C168" i="51"/>
  <c r="N196" i="51"/>
  <c r="L198" i="51"/>
  <c r="F166" i="51"/>
  <c r="M174" i="51"/>
  <c r="B179" i="51"/>
  <c r="G176" i="51"/>
  <c r="I187" i="51"/>
  <c r="P167" i="51"/>
  <c r="G179" i="51"/>
  <c r="M187" i="51"/>
  <c r="L171" i="51"/>
  <c r="M181" i="51"/>
  <c r="P173" i="51"/>
  <c r="S179" i="51"/>
  <c r="U172" i="51"/>
  <c r="U166" i="51"/>
  <c r="I191" i="51"/>
  <c r="L200" i="51"/>
  <c r="N174" i="51"/>
  <c r="K170" i="51"/>
  <c r="E166" i="51"/>
  <c r="K176" i="51"/>
  <c r="G173" i="51"/>
  <c r="J174" i="51"/>
  <c r="J170" i="51"/>
  <c r="I176" i="51"/>
  <c r="N197" i="51"/>
  <c r="K187" i="51"/>
  <c r="C174" i="51"/>
  <c r="B176" i="51"/>
  <c r="J173" i="51"/>
  <c r="I172" i="51"/>
  <c r="M190" i="51"/>
  <c r="I173" i="51"/>
  <c r="T169" i="51"/>
  <c r="D176" i="51"/>
  <c r="J176" i="51"/>
  <c r="C171" i="51"/>
  <c r="U168" i="51"/>
  <c r="L167" i="51"/>
  <c r="T173" i="51"/>
  <c r="L199" i="51"/>
  <c r="K174" i="51"/>
  <c r="B186" i="51"/>
  <c r="K180" i="51"/>
  <c r="S166" i="51"/>
  <c r="B190" i="51"/>
  <c r="G175" i="51"/>
  <c r="D171" i="51"/>
  <c r="E190" i="51"/>
  <c r="I177" i="51"/>
  <c r="P178" i="51"/>
  <c r="L180" i="51"/>
  <c r="M176" i="51"/>
  <c r="S182" i="51"/>
  <c r="S171" i="51"/>
  <c r="F179" i="51"/>
  <c r="B165" i="51"/>
  <c r="D168" i="51"/>
  <c r="M197" i="51"/>
  <c r="D179" i="51"/>
  <c r="L169" i="51"/>
  <c r="J190" i="51"/>
  <c r="K181" i="51"/>
  <c r="F172" i="51"/>
  <c r="C167" i="51"/>
  <c r="B169" i="51"/>
  <c r="I188" i="51"/>
  <c r="L197" i="51"/>
  <c r="K177" i="51"/>
  <c r="E189" i="51"/>
  <c r="D166" i="51"/>
  <c r="E186" i="51"/>
  <c r="M186" i="51"/>
  <c r="E168" i="51"/>
  <c r="P182" i="51"/>
  <c r="Q173" i="51"/>
  <c r="E167" i="51"/>
  <c r="M171" i="51"/>
  <c r="I190" i="51"/>
  <c r="P166" i="51"/>
  <c r="J199" i="51"/>
  <c r="L190" i="51"/>
  <c r="M188" i="51"/>
  <c r="E199" i="51"/>
  <c r="Q169" i="51"/>
  <c r="B167" i="51"/>
  <c r="I180" i="51"/>
  <c r="L166" i="51"/>
  <c r="L170" i="51"/>
  <c r="R166" i="51"/>
  <c r="D190" i="51"/>
  <c r="P165" i="51"/>
  <c r="J167" i="51"/>
  <c r="F167" i="51"/>
  <c r="R170" i="51"/>
  <c r="J175" i="51"/>
  <c r="K189" i="51"/>
  <c r="S180" i="51"/>
  <c r="D188" i="51"/>
  <c r="N170" i="51"/>
  <c r="P168" i="51"/>
  <c r="G180" i="51"/>
  <c r="G171" i="51"/>
  <c r="I174" i="51"/>
  <c r="S168" i="51"/>
  <c r="F169" i="51"/>
  <c r="F187" i="51"/>
  <c r="I171" i="51"/>
  <c r="D191" i="51"/>
  <c r="M199" i="51"/>
  <c r="I189" i="51"/>
  <c r="M191" i="51"/>
  <c r="F171" i="51"/>
  <c r="K199" i="51"/>
  <c r="N171" i="51"/>
  <c r="B164" i="51"/>
  <c r="J166" i="51"/>
  <c r="J191" i="51"/>
  <c r="B187" i="51"/>
  <c r="F191" i="51"/>
  <c r="E173" i="51"/>
  <c r="I169" i="51"/>
  <c r="J168" i="51"/>
  <c r="K186" i="51"/>
  <c r="P171" i="51"/>
  <c r="T168" i="51"/>
  <c r="M189" i="51"/>
  <c r="P176" i="51"/>
  <c r="C165" i="51"/>
  <c r="J171" i="51"/>
  <c r="L191" i="51"/>
  <c r="M167" i="51"/>
  <c r="B188" i="51"/>
  <c r="K168" i="51"/>
  <c r="D175" i="51"/>
  <c r="B194" i="51"/>
  <c r="K171" i="51"/>
  <c r="G169" i="51"/>
  <c r="C186" i="51"/>
  <c r="K173" i="51"/>
  <c r="L195" i="51"/>
  <c r="U171" i="51"/>
  <c r="N166" i="51"/>
  <c r="R167" i="51"/>
  <c r="E175" i="51"/>
  <c r="B196" i="51"/>
  <c r="M177" i="51"/>
  <c r="P180" i="51"/>
  <c r="K167" i="51"/>
  <c r="I185" i="51"/>
  <c r="E188" i="51"/>
  <c r="D189" i="51"/>
  <c r="M196" i="51"/>
  <c r="J177" i="51"/>
  <c r="G167" i="51"/>
  <c r="T167" i="51"/>
  <c r="M168" i="51"/>
  <c r="E169" i="51"/>
  <c r="M170" i="51"/>
  <c r="N172" i="51"/>
  <c r="D187" i="51"/>
  <c r="M172" i="51"/>
  <c r="E187" i="51"/>
  <c r="J172" i="51"/>
  <c r="S181" i="51"/>
  <c r="L196" i="51"/>
  <c r="J165" i="51"/>
  <c r="N177" i="51"/>
  <c r="C172" i="51"/>
  <c r="N199" i="51"/>
  <c r="D241" i="51"/>
  <c r="B236" i="51"/>
  <c r="L230" i="51"/>
  <c r="K249" i="51"/>
  <c r="F222" i="51"/>
  <c r="L227" i="51"/>
  <c r="K223" i="51"/>
  <c r="K221" i="51"/>
  <c r="I217" i="51"/>
  <c r="C238" i="51"/>
  <c r="I249" i="51"/>
  <c r="F224" i="51"/>
  <c r="L221" i="51"/>
  <c r="I239" i="51"/>
  <c r="I35" i="51" s="1"/>
  <c r="P232" i="51"/>
  <c r="AC37" i="51" s="1"/>
  <c r="I218" i="51"/>
  <c r="K224" i="51"/>
  <c r="L247" i="51"/>
  <c r="T46" i="51" s="1"/>
  <c r="J239" i="51"/>
  <c r="N250" i="51"/>
  <c r="F230" i="51"/>
  <c r="P223" i="51"/>
  <c r="M248" i="51"/>
  <c r="E224" i="51"/>
  <c r="M237" i="51"/>
  <c r="C239" i="51"/>
  <c r="N218" i="51"/>
  <c r="S218" i="51"/>
  <c r="E229" i="51"/>
  <c r="D220" i="51"/>
  <c r="D230" i="51"/>
  <c r="J220" i="51"/>
  <c r="N230" i="51"/>
  <c r="P227" i="51"/>
  <c r="J215" i="51"/>
  <c r="K219" i="51"/>
  <c r="S221" i="51"/>
  <c r="F225" i="51"/>
  <c r="L220" i="51"/>
  <c r="Q220" i="51"/>
  <c r="B220" i="51"/>
  <c r="I226" i="51"/>
  <c r="I236" i="51"/>
  <c r="B222" i="51"/>
  <c r="E223" i="51"/>
  <c r="N219" i="51"/>
  <c r="C217" i="51"/>
  <c r="F240" i="51"/>
  <c r="F241" i="51"/>
  <c r="B229" i="51"/>
  <c r="B25" i="51" s="1"/>
  <c r="D226" i="51"/>
  <c r="Q216" i="51"/>
  <c r="J221" i="51"/>
  <c r="C221" i="51"/>
  <c r="Q219" i="51"/>
  <c r="C237" i="51"/>
  <c r="E220" i="51"/>
  <c r="R218" i="51"/>
  <c r="F239" i="51"/>
  <c r="D219" i="51"/>
  <c r="F218" i="51"/>
  <c r="I241" i="51"/>
  <c r="I37" i="51" s="1"/>
  <c r="C226" i="51"/>
  <c r="R222" i="51"/>
  <c r="U217" i="51"/>
  <c r="J227" i="51"/>
  <c r="C225" i="51"/>
  <c r="R219" i="51"/>
  <c r="L225" i="51"/>
  <c r="L217" i="51"/>
  <c r="Q223" i="51"/>
  <c r="D239" i="51"/>
  <c r="F238" i="51"/>
  <c r="B226" i="51"/>
  <c r="L224" i="51"/>
  <c r="L248" i="51"/>
  <c r="T47" i="51" s="1"/>
  <c r="Q227" i="51"/>
  <c r="F223" i="51"/>
  <c r="B237" i="51"/>
  <c r="M249" i="51"/>
  <c r="B244" i="51"/>
  <c r="B40" i="51" s="1"/>
  <c r="C223" i="51"/>
  <c r="E239" i="51"/>
  <c r="K220" i="51"/>
  <c r="E249" i="51"/>
  <c r="U220" i="51"/>
  <c r="B225" i="51"/>
  <c r="K227" i="51"/>
  <c r="C216" i="51"/>
  <c r="K216" i="51"/>
  <c r="C224" i="51"/>
  <c r="T217" i="51"/>
  <c r="I238" i="51"/>
  <c r="I34" i="51" s="1"/>
  <c r="J238" i="51"/>
  <c r="C240" i="51"/>
  <c r="I240" i="51"/>
  <c r="I36" i="51" s="1"/>
  <c r="M221" i="51"/>
  <c r="M224" i="51"/>
  <c r="N246" i="51"/>
  <c r="D240" i="51"/>
  <c r="N231" i="51"/>
  <c r="C219" i="51"/>
  <c r="B218" i="51"/>
  <c r="G221" i="51"/>
  <c r="P229" i="51"/>
  <c r="AC34" i="51" s="1"/>
  <c r="N245" i="51"/>
  <c r="E240" i="51"/>
  <c r="L249" i="51"/>
  <c r="T48" i="51" s="1"/>
  <c r="B235" i="51"/>
  <c r="B31" i="51" s="1"/>
  <c r="P231" i="51"/>
  <c r="AC36" i="51" s="1"/>
  <c r="D249" i="51"/>
  <c r="N221" i="51"/>
  <c r="G225" i="51"/>
  <c r="I216" i="51"/>
  <c r="J240" i="51"/>
  <c r="M230" i="51"/>
  <c r="D223" i="51"/>
  <c r="E217" i="51"/>
  <c r="E225" i="51"/>
  <c r="I222" i="51"/>
  <c r="L226" i="51"/>
  <c r="C220" i="51"/>
  <c r="T223" i="51"/>
  <c r="J236" i="51"/>
  <c r="U218" i="51"/>
  <c r="E238" i="51"/>
  <c r="N249" i="51"/>
  <c r="K240" i="51"/>
  <c r="M231" i="51"/>
  <c r="J223" i="51"/>
  <c r="F221" i="51"/>
  <c r="P217" i="51"/>
  <c r="P218" i="51"/>
  <c r="M239" i="51"/>
  <c r="J222" i="51"/>
  <c r="F216" i="51"/>
  <c r="M240" i="51"/>
  <c r="R223" i="51"/>
  <c r="R221" i="51"/>
  <c r="K217" i="51"/>
  <c r="D229" i="51"/>
  <c r="P219" i="51"/>
  <c r="U216" i="51"/>
  <c r="G230" i="51"/>
  <c r="C241" i="51"/>
  <c r="K239" i="51"/>
  <c r="G220" i="51"/>
  <c r="B240" i="51"/>
  <c r="B36" i="51" s="1"/>
  <c r="R217" i="51"/>
  <c r="G222" i="51"/>
  <c r="D236" i="51"/>
  <c r="J224" i="51"/>
  <c r="N217" i="51"/>
  <c r="N224" i="51"/>
  <c r="G249" i="51"/>
  <c r="E218" i="51"/>
  <c r="N222" i="51"/>
  <c r="M225" i="51"/>
  <c r="K226" i="51"/>
  <c r="L237" i="51"/>
  <c r="K225" i="51"/>
  <c r="C249" i="51"/>
  <c r="J249" i="51"/>
  <c r="K241" i="51"/>
  <c r="K231" i="51"/>
  <c r="B216" i="51"/>
  <c r="B3" i="51" s="1"/>
  <c r="F226" i="51"/>
  <c r="D216" i="51"/>
  <c r="L218" i="51"/>
  <c r="J225" i="51"/>
  <c r="L250" i="51"/>
  <c r="T49" i="51" s="1"/>
  <c r="D225" i="51"/>
  <c r="I235" i="51"/>
  <c r="I31" i="51" s="1"/>
  <c r="N225" i="51"/>
  <c r="I230" i="51"/>
  <c r="I25" i="51" s="1"/>
  <c r="J217" i="51"/>
  <c r="L219" i="51"/>
  <c r="S228" i="51"/>
  <c r="AF33" i="51" s="1"/>
  <c r="K230" i="51"/>
  <c r="C236" i="51"/>
  <c r="L223" i="51"/>
  <c r="S232" i="51"/>
  <c r="AF37" i="51" s="1"/>
  <c r="J219" i="51"/>
  <c r="B217" i="51"/>
  <c r="L216" i="51"/>
  <c r="P220" i="51"/>
  <c r="K236" i="51"/>
  <c r="I237" i="51"/>
  <c r="I33" i="51" s="1"/>
  <c r="K222" i="51"/>
  <c r="G223" i="51"/>
  <c r="Q215" i="51"/>
  <c r="E237" i="51"/>
  <c r="K218" i="51"/>
  <c r="M220" i="51"/>
  <c r="H249" i="51"/>
  <c r="Q217" i="51"/>
  <c r="G216" i="51"/>
  <c r="P215" i="51"/>
  <c r="M218" i="51"/>
  <c r="S216" i="51"/>
  <c r="T220" i="51"/>
  <c r="R216" i="51"/>
  <c r="C215" i="51"/>
  <c r="I220" i="51"/>
  <c r="B214" i="51"/>
  <c r="B1" i="51" s="1"/>
  <c r="B11" i="21" s="1"/>
  <c r="K237" i="51"/>
  <c r="J241" i="51"/>
  <c r="M241" i="51"/>
  <c r="S229" i="51"/>
  <c r="B223" i="51"/>
  <c r="J218" i="51"/>
  <c r="F220" i="51"/>
  <c r="B249" i="51"/>
  <c r="B44" i="51" s="1"/>
  <c r="L240" i="51"/>
  <c r="C222" i="51"/>
  <c r="I225" i="51"/>
  <c r="L241" i="51"/>
  <c r="D238" i="51"/>
  <c r="D222" i="51"/>
  <c r="F219" i="51"/>
  <c r="D224" i="51"/>
  <c r="S223" i="51"/>
  <c r="P226" i="51"/>
  <c r="L239" i="51"/>
  <c r="M238" i="51"/>
  <c r="S222" i="51"/>
  <c r="P216" i="51"/>
  <c r="AH2" i="51" s="1"/>
  <c r="M227" i="51"/>
  <c r="N248" i="51"/>
  <c r="I219" i="51"/>
  <c r="D221" i="51"/>
  <c r="M245" i="51"/>
  <c r="L244" i="51"/>
  <c r="I221" i="51"/>
  <c r="E216" i="51"/>
  <c r="R220" i="51"/>
  <c r="F249" i="51"/>
  <c r="B239" i="51"/>
  <c r="B35" i="51" s="1"/>
  <c r="F229" i="51"/>
  <c r="T218" i="51"/>
  <c r="M219" i="51"/>
  <c r="M246" i="51"/>
  <c r="E230" i="51"/>
  <c r="G224" i="51"/>
  <c r="G217" i="51"/>
  <c r="L231" i="51"/>
  <c r="M217" i="51"/>
  <c r="F217" i="51"/>
  <c r="E236" i="51"/>
  <c r="S217" i="51"/>
  <c r="G229" i="51"/>
  <c r="M247" i="51"/>
  <c r="G226" i="51"/>
  <c r="N220" i="51"/>
  <c r="I224" i="51"/>
  <c r="M236" i="51"/>
  <c r="C218" i="51"/>
  <c r="L238" i="51"/>
  <c r="S219" i="51"/>
  <c r="E222" i="51"/>
  <c r="B224" i="51"/>
  <c r="M222" i="51"/>
  <c r="B238" i="51"/>
  <c r="B34" i="51" s="1"/>
  <c r="L222" i="51"/>
  <c r="Q221" i="51"/>
  <c r="F236" i="51"/>
  <c r="P221" i="51"/>
  <c r="T221" i="51"/>
  <c r="U219" i="51"/>
  <c r="I223" i="51"/>
  <c r="N223" i="51"/>
  <c r="T222" i="51"/>
  <c r="E219" i="51"/>
  <c r="K238" i="51"/>
  <c r="S230" i="51"/>
  <c r="AF35" i="51" s="1"/>
  <c r="M223" i="51"/>
  <c r="N216" i="51"/>
  <c r="T216" i="51"/>
  <c r="B241" i="51"/>
  <c r="B37" i="51" s="1"/>
  <c r="D237" i="51"/>
  <c r="J216" i="51"/>
  <c r="E221" i="51"/>
  <c r="B246" i="51"/>
  <c r="B42" i="51" s="1"/>
  <c r="B47" i="51" s="1"/>
  <c r="M216" i="51"/>
  <c r="J237" i="51"/>
  <c r="S231" i="51"/>
  <c r="AF36" i="51" s="1"/>
  <c r="N226" i="51"/>
  <c r="S220" i="51"/>
  <c r="I215" i="51"/>
  <c r="U2" i="51" s="1"/>
  <c r="P230" i="51"/>
  <c r="AC35" i="51" s="1"/>
  <c r="D217" i="51"/>
  <c r="U222" i="51"/>
  <c r="E241" i="51"/>
  <c r="N227" i="51"/>
  <c r="M250" i="51"/>
  <c r="N247" i="51"/>
  <c r="D218" i="51"/>
  <c r="F237" i="51"/>
  <c r="U223" i="51"/>
  <c r="T219" i="51"/>
  <c r="U221" i="51"/>
  <c r="M226" i="51"/>
  <c r="L236" i="51"/>
  <c r="B219" i="51"/>
  <c r="P228" i="51"/>
  <c r="AC33" i="51" s="1"/>
  <c r="G218" i="51"/>
  <c r="I227" i="51"/>
  <c r="Q222" i="51"/>
  <c r="G219" i="51"/>
  <c r="L246" i="51"/>
  <c r="T45" i="51" s="1"/>
  <c r="P222" i="51"/>
  <c r="Q218" i="51"/>
  <c r="B215" i="51"/>
  <c r="B2" i="51" s="1"/>
  <c r="B221" i="51"/>
  <c r="L245" i="51"/>
  <c r="J226" i="51"/>
  <c r="E226" i="51"/>
  <c r="M126" i="51"/>
  <c r="AD22" i="51" s="1"/>
  <c r="N148" i="51"/>
  <c r="R120" i="51"/>
  <c r="M116" i="51"/>
  <c r="U118" i="51"/>
  <c r="J126" i="51"/>
  <c r="U116" i="51"/>
  <c r="J139" i="51"/>
  <c r="D139" i="51"/>
  <c r="N121" i="51"/>
  <c r="T120" i="51"/>
  <c r="J141" i="51"/>
  <c r="L131" i="51"/>
  <c r="S117" i="51"/>
  <c r="M123" i="51"/>
  <c r="AD16" i="51" s="1"/>
  <c r="G129" i="51"/>
  <c r="C115" i="51"/>
  <c r="N124" i="51"/>
  <c r="F126" i="51"/>
  <c r="G117" i="51"/>
  <c r="I149" i="51"/>
  <c r="C118" i="51"/>
  <c r="D121" i="51"/>
  <c r="N145" i="51"/>
  <c r="F116" i="51"/>
  <c r="E125" i="51"/>
  <c r="R118" i="51"/>
  <c r="N126" i="51"/>
  <c r="L124" i="51"/>
  <c r="Q123" i="51"/>
  <c r="M118" i="51"/>
  <c r="Q119" i="51"/>
  <c r="L139" i="51"/>
  <c r="C116" i="51"/>
  <c r="M146" i="51"/>
  <c r="K125" i="51"/>
  <c r="C125" i="51"/>
  <c r="F141" i="51"/>
  <c r="Q120" i="51"/>
  <c r="D149" i="51"/>
  <c r="M148" i="51"/>
  <c r="L118" i="51"/>
  <c r="L150" i="51"/>
  <c r="E123" i="51"/>
  <c r="G120" i="51"/>
  <c r="L122" i="51"/>
  <c r="F121" i="51"/>
  <c r="S119" i="51"/>
  <c r="K139" i="51"/>
  <c r="C138" i="51"/>
  <c r="L145" i="51"/>
  <c r="C123" i="51"/>
  <c r="R117" i="51"/>
  <c r="K127" i="51"/>
  <c r="N119" i="51"/>
  <c r="J137" i="51"/>
  <c r="Q121" i="51"/>
  <c r="D116" i="51"/>
  <c r="L147" i="51"/>
  <c r="C141" i="51"/>
  <c r="L146" i="51"/>
  <c r="F118" i="51"/>
  <c r="G130" i="51"/>
  <c r="N117" i="51"/>
  <c r="L138" i="51"/>
  <c r="G118" i="51"/>
  <c r="E138" i="51"/>
  <c r="C117" i="51"/>
  <c r="L141" i="51"/>
  <c r="Q116" i="51"/>
  <c r="N131" i="51"/>
  <c r="U123" i="51"/>
  <c r="G125" i="51"/>
  <c r="M120" i="51"/>
  <c r="J119" i="51"/>
  <c r="F123" i="51"/>
  <c r="M147" i="51"/>
  <c r="J140" i="51"/>
  <c r="J36" i="51" s="1"/>
  <c r="R119" i="51"/>
  <c r="F139" i="51"/>
  <c r="J117" i="51"/>
  <c r="C119" i="51"/>
  <c r="K116" i="51"/>
  <c r="E121" i="51"/>
  <c r="J125" i="51"/>
  <c r="E137" i="51"/>
  <c r="L144" i="51"/>
  <c r="L140" i="51"/>
  <c r="R116" i="51"/>
  <c r="T116" i="51"/>
  <c r="N127" i="51"/>
  <c r="G119" i="51"/>
  <c r="L120" i="51"/>
  <c r="F120" i="51"/>
  <c r="J122" i="51"/>
  <c r="N147" i="51"/>
  <c r="U122" i="51"/>
  <c r="F125" i="51"/>
  <c r="T117" i="51"/>
  <c r="K121" i="51"/>
  <c r="T121" i="51"/>
  <c r="M139" i="51"/>
  <c r="L130" i="51"/>
  <c r="M140" i="51"/>
  <c r="M124" i="51"/>
  <c r="F122" i="51"/>
  <c r="M121" i="51"/>
  <c r="G124" i="51"/>
  <c r="N116" i="51"/>
  <c r="L117" i="51"/>
  <c r="L137" i="51"/>
  <c r="U121" i="51"/>
  <c r="J115" i="51"/>
  <c r="J123" i="51"/>
  <c r="N149" i="51"/>
  <c r="C126" i="51"/>
  <c r="M125" i="51"/>
  <c r="G121" i="51"/>
  <c r="J149" i="51"/>
  <c r="J121" i="51"/>
  <c r="T119" i="51"/>
  <c r="K137" i="51"/>
  <c r="F136" i="51"/>
  <c r="J120" i="51"/>
  <c r="J127" i="51"/>
  <c r="D120" i="51"/>
  <c r="K138" i="51"/>
  <c r="S116" i="51"/>
  <c r="U120" i="51"/>
  <c r="C124" i="51"/>
  <c r="E118" i="51"/>
  <c r="D126" i="51"/>
  <c r="K124" i="51"/>
  <c r="M149" i="51"/>
  <c r="N125" i="51"/>
  <c r="E149" i="51"/>
  <c r="F140" i="51"/>
  <c r="U119" i="51"/>
  <c r="E120" i="51"/>
  <c r="E139" i="51"/>
  <c r="M137" i="51"/>
  <c r="E130" i="51"/>
  <c r="Q117" i="51"/>
  <c r="S123" i="51"/>
  <c r="E124" i="51"/>
  <c r="T118" i="51"/>
  <c r="D125" i="51"/>
  <c r="G122" i="51"/>
  <c r="D138" i="51"/>
  <c r="S118" i="51"/>
  <c r="D130" i="51"/>
  <c r="Q122" i="51"/>
  <c r="D122" i="51"/>
  <c r="S120" i="51"/>
  <c r="L126" i="51"/>
  <c r="K118" i="51"/>
  <c r="F138" i="51"/>
  <c r="F119" i="51"/>
  <c r="C139" i="51"/>
  <c r="N122" i="51"/>
  <c r="F137" i="51"/>
  <c r="E136" i="51"/>
  <c r="N130" i="51"/>
  <c r="D119" i="51"/>
  <c r="L127" i="51"/>
  <c r="D123" i="51"/>
  <c r="L116" i="51"/>
  <c r="K130" i="51"/>
  <c r="C136" i="51"/>
  <c r="D118" i="51"/>
  <c r="L148" i="51"/>
  <c r="K122" i="51"/>
  <c r="M117" i="51"/>
  <c r="N123" i="51"/>
  <c r="K117" i="51"/>
  <c r="F117" i="51"/>
  <c r="D136" i="51"/>
  <c r="K119" i="51"/>
  <c r="C140" i="51"/>
  <c r="N118" i="51"/>
  <c r="E140" i="51"/>
  <c r="M141" i="51"/>
  <c r="F124" i="51"/>
  <c r="C137" i="51"/>
  <c r="L125" i="51"/>
  <c r="G116" i="51"/>
  <c r="M131" i="51"/>
  <c r="D141" i="51"/>
  <c r="L149" i="51"/>
  <c r="R122" i="51"/>
  <c r="D137" i="51"/>
  <c r="E116" i="51"/>
  <c r="M122" i="51"/>
  <c r="AD14" i="51" s="1"/>
  <c r="J118" i="51"/>
  <c r="G149" i="51"/>
  <c r="C121" i="51"/>
  <c r="E122" i="51"/>
  <c r="L136" i="51"/>
  <c r="K123" i="51"/>
  <c r="C122" i="51"/>
  <c r="T123" i="51"/>
  <c r="R123" i="51"/>
  <c r="J136" i="51"/>
  <c r="M145" i="51"/>
  <c r="E117" i="51"/>
  <c r="K140" i="51"/>
  <c r="L123" i="51"/>
  <c r="Q127" i="51"/>
  <c r="M127" i="51"/>
  <c r="Q118" i="51"/>
  <c r="K120" i="51"/>
  <c r="S122" i="51"/>
  <c r="C120" i="51"/>
  <c r="K131" i="51"/>
  <c r="L121" i="51"/>
  <c r="H149" i="51"/>
  <c r="D129" i="51"/>
  <c r="N150" i="51"/>
  <c r="E141" i="51"/>
  <c r="R121" i="51"/>
  <c r="M130" i="51"/>
  <c r="G126" i="51"/>
  <c r="J116" i="51"/>
  <c r="E119" i="51"/>
  <c r="K126" i="51"/>
  <c r="M119" i="51"/>
  <c r="J138" i="51"/>
  <c r="D124" i="51"/>
  <c r="D140" i="51"/>
  <c r="J124" i="51"/>
  <c r="C149" i="51"/>
  <c r="M150" i="51"/>
  <c r="S121" i="51"/>
  <c r="E126" i="51"/>
  <c r="M138" i="51"/>
  <c r="N146" i="51"/>
  <c r="U117" i="51"/>
  <c r="L119" i="51"/>
  <c r="K149" i="51"/>
  <c r="Q115" i="51"/>
  <c r="G123" i="51"/>
  <c r="N120" i="51"/>
  <c r="F130" i="51"/>
  <c r="F149" i="51"/>
  <c r="F129" i="51"/>
  <c r="K136" i="51"/>
  <c r="E129" i="51"/>
  <c r="M136" i="51"/>
  <c r="T122" i="51"/>
  <c r="K141" i="51"/>
  <c r="D117" i="51"/>
  <c r="L316" i="51"/>
  <c r="G349" i="51"/>
  <c r="M320" i="51"/>
  <c r="E330" i="51"/>
  <c r="C318" i="51"/>
  <c r="K325" i="51"/>
  <c r="C349" i="51"/>
  <c r="B323" i="51"/>
  <c r="I316" i="51"/>
  <c r="I317" i="51"/>
  <c r="S316" i="51"/>
  <c r="D325" i="51"/>
  <c r="C317" i="51"/>
  <c r="G318" i="51"/>
  <c r="J327" i="51"/>
  <c r="P330" i="51"/>
  <c r="G320" i="51"/>
  <c r="G316" i="51"/>
  <c r="B326" i="51"/>
  <c r="C321" i="51"/>
  <c r="F329" i="51"/>
  <c r="B329" i="51"/>
  <c r="S321" i="51"/>
  <c r="C338" i="51"/>
  <c r="S320" i="51"/>
  <c r="B314" i="51"/>
  <c r="F320" i="51"/>
  <c r="N322" i="51"/>
  <c r="N323" i="51"/>
  <c r="I319" i="51"/>
  <c r="M339" i="51"/>
  <c r="N327" i="51"/>
  <c r="U317" i="51"/>
  <c r="J330" i="51"/>
  <c r="Q327" i="51"/>
  <c r="D317" i="51"/>
  <c r="G326" i="51"/>
  <c r="P323" i="51"/>
  <c r="T319" i="51"/>
  <c r="L348" i="51"/>
  <c r="M336" i="51"/>
  <c r="D322" i="51"/>
  <c r="F321" i="51"/>
  <c r="N329" i="51"/>
  <c r="I338" i="51"/>
  <c r="F341" i="51"/>
  <c r="B346" i="51"/>
  <c r="L325" i="51"/>
  <c r="M318" i="51"/>
  <c r="P319" i="51"/>
  <c r="B316" i="51"/>
  <c r="I336" i="51"/>
  <c r="B336" i="51"/>
  <c r="F324" i="51"/>
  <c r="P332" i="51"/>
  <c r="J336" i="51"/>
  <c r="J340" i="51"/>
  <c r="L322" i="51"/>
  <c r="E317" i="51"/>
  <c r="I337" i="51"/>
  <c r="J321" i="51"/>
  <c r="Q321" i="51"/>
  <c r="L327" i="51"/>
  <c r="C320" i="51"/>
  <c r="F325" i="51"/>
  <c r="B315" i="51"/>
  <c r="P328" i="51"/>
  <c r="T323" i="51"/>
  <c r="U319" i="51"/>
  <c r="C325" i="51"/>
  <c r="K317" i="51"/>
  <c r="F326" i="51"/>
  <c r="R320" i="51"/>
  <c r="C326" i="51"/>
  <c r="S328" i="51"/>
  <c r="M350" i="51"/>
  <c r="L337" i="51"/>
  <c r="P315" i="51"/>
  <c r="L317" i="51"/>
  <c r="L323" i="51"/>
  <c r="M345" i="51"/>
  <c r="J329" i="51"/>
  <c r="F349" i="51"/>
  <c r="K339" i="51"/>
  <c r="I341" i="51"/>
  <c r="E339" i="51"/>
  <c r="P329" i="51"/>
  <c r="K338" i="51"/>
  <c r="F340" i="51"/>
  <c r="B318" i="51"/>
  <c r="B319" i="51"/>
  <c r="P326" i="51"/>
  <c r="E336" i="51"/>
  <c r="L321" i="51"/>
  <c r="K327" i="51"/>
  <c r="B335" i="51"/>
  <c r="L319" i="51"/>
  <c r="B320" i="51"/>
  <c r="E338" i="51"/>
  <c r="E319" i="51"/>
  <c r="E329" i="51"/>
  <c r="E323" i="51"/>
  <c r="N325" i="51"/>
  <c r="F338" i="51"/>
  <c r="M329" i="51"/>
  <c r="J322" i="51"/>
  <c r="J320" i="51"/>
  <c r="K329" i="51"/>
  <c r="B324" i="51"/>
  <c r="K336" i="51"/>
  <c r="J341" i="51"/>
  <c r="B338" i="51"/>
  <c r="K320" i="51"/>
  <c r="S330" i="51"/>
  <c r="D324" i="51"/>
  <c r="L349" i="51"/>
  <c r="D318" i="51"/>
  <c r="R316" i="51"/>
  <c r="I320" i="51"/>
  <c r="L350" i="51"/>
  <c r="J324" i="51"/>
  <c r="M324" i="51"/>
  <c r="J318" i="51"/>
  <c r="L346" i="51"/>
  <c r="C337" i="51"/>
  <c r="G319" i="51"/>
  <c r="M327" i="51"/>
  <c r="G322" i="51"/>
  <c r="S323" i="51"/>
  <c r="C319" i="51"/>
  <c r="J339" i="51"/>
  <c r="T316" i="51"/>
  <c r="T318" i="51"/>
  <c r="D337" i="51"/>
  <c r="M319" i="51"/>
  <c r="T320" i="51"/>
  <c r="E326" i="51"/>
  <c r="M337" i="51"/>
  <c r="D340" i="51"/>
  <c r="K321" i="51"/>
  <c r="S317" i="51"/>
  <c r="B317" i="51"/>
  <c r="S318" i="51"/>
  <c r="M317" i="51"/>
  <c r="M321" i="51"/>
  <c r="D330" i="51"/>
  <c r="D329" i="51"/>
  <c r="K324" i="51"/>
  <c r="D338" i="51"/>
  <c r="K349" i="51"/>
  <c r="M316" i="51"/>
  <c r="B349" i="51"/>
  <c r="D349" i="51"/>
  <c r="E340" i="51"/>
  <c r="E322" i="51"/>
  <c r="P318" i="51"/>
  <c r="R322" i="51"/>
  <c r="K316" i="51"/>
  <c r="L338" i="51"/>
  <c r="J315" i="51"/>
  <c r="D320" i="51"/>
  <c r="N345" i="51"/>
  <c r="G324" i="51"/>
  <c r="P317" i="51"/>
  <c r="F316" i="51"/>
  <c r="B337" i="51"/>
  <c r="L336" i="51"/>
  <c r="I327" i="51"/>
  <c r="P316" i="51"/>
  <c r="M341" i="51"/>
  <c r="I349" i="51"/>
  <c r="E324" i="51"/>
  <c r="F337" i="51"/>
  <c r="S331" i="51"/>
  <c r="M348" i="51"/>
  <c r="M346" i="51"/>
  <c r="N320" i="51"/>
  <c r="R319" i="51"/>
  <c r="D321" i="51"/>
  <c r="D323" i="51"/>
  <c r="B341" i="51"/>
  <c r="F318" i="51"/>
  <c r="J323" i="51"/>
  <c r="M347" i="51"/>
  <c r="R317" i="51"/>
  <c r="Q316" i="51"/>
  <c r="N319" i="51"/>
  <c r="C341" i="51"/>
  <c r="L340" i="51"/>
  <c r="S319" i="51"/>
  <c r="Q320" i="51"/>
  <c r="P327" i="51"/>
  <c r="N330" i="51"/>
  <c r="D339" i="51"/>
  <c r="N324" i="51"/>
  <c r="Q322" i="51"/>
  <c r="G329" i="51"/>
  <c r="S329" i="51"/>
  <c r="L324" i="51"/>
  <c r="U322" i="51"/>
  <c r="K322" i="51"/>
  <c r="C316" i="51"/>
  <c r="N318" i="51"/>
  <c r="Q319" i="51"/>
  <c r="N347" i="51"/>
  <c r="U316" i="51"/>
  <c r="L318" i="51"/>
  <c r="I335" i="51"/>
  <c r="M338" i="51"/>
  <c r="I326" i="51"/>
  <c r="M322" i="51"/>
  <c r="D319" i="51"/>
  <c r="N326" i="51"/>
  <c r="L320" i="51"/>
  <c r="P331" i="51"/>
  <c r="K319" i="51"/>
  <c r="I324" i="51"/>
  <c r="D341" i="51"/>
  <c r="R321" i="51"/>
  <c r="U323" i="51"/>
  <c r="G330" i="51"/>
  <c r="E316" i="51"/>
  <c r="L339" i="51"/>
  <c r="J325" i="51"/>
  <c r="Q323" i="51"/>
  <c r="C324" i="51"/>
  <c r="L344" i="51"/>
  <c r="M349" i="51"/>
  <c r="N348" i="51"/>
  <c r="I339" i="51"/>
  <c r="K326" i="51"/>
  <c r="G323" i="51"/>
  <c r="F322" i="51"/>
  <c r="S332" i="51"/>
  <c r="J317" i="51"/>
  <c r="E318" i="51"/>
  <c r="Q318" i="51"/>
  <c r="D336" i="51"/>
  <c r="F339" i="51"/>
  <c r="R318" i="51"/>
  <c r="M325" i="51"/>
  <c r="F330" i="51"/>
  <c r="U318" i="51"/>
  <c r="G321" i="51"/>
  <c r="T317" i="51"/>
  <c r="Q317" i="51"/>
  <c r="N316" i="51"/>
  <c r="L329" i="51"/>
  <c r="G317" i="51"/>
  <c r="F319" i="51"/>
  <c r="M330" i="51"/>
  <c r="E341" i="51"/>
  <c r="C323" i="51"/>
  <c r="C322" i="51"/>
  <c r="L326" i="51"/>
  <c r="B322" i="51"/>
  <c r="I330" i="51"/>
  <c r="H349" i="51"/>
  <c r="J349" i="51"/>
  <c r="I325" i="51"/>
  <c r="B344" i="51"/>
  <c r="F336" i="51"/>
  <c r="E337" i="51"/>
  <c r="J337" i="51"/>
  <c r="K330" i="51"/>
  <c r="T321" i="51"/>
  <c r="M340" i="51"/>
  <c r="L330" i="51"/>
  <c r="J326" i="51"/>
  <c r="G325" i="51"/>
  <c r="K337" i="51"/>
  <c r="U320" i="51"/>
  <c r="K323" i="51"/>
  <c r="T322" i="51"/>
  <c r="E320" i="51"/>
  <c r="C339" i="51"/>
  <c r="N349" i="51"/>
  <c r="S322" i="51"/>
  <c r="C336" i="51"/>
  <c r="U321" i="51"/>
  <c r="R323" i="51"/>
  <c r="I321" i="51"/>
  <c r="J316" i="51"/>
  <c r="B325" i="51"/>
  <c r="K340" i="51"/>
  <c r="M323" i="51"/>
  <c r="N346" i="51"/>
  <c r="P320" i="51"/>
  <c r="N317" i="51"/>
  <c r="C315" i="51"/>
  <c r="C340" i="51"/>
  <c r="B340" i="51"/>
  <c r="B321" i="51"/>
  <c r="I340" i="51"/>
  <c r="K341" i="51"/>
  <c r="I315" i="51"/>
  <c r="J338" i="51"/>
  <c r="P321" i="51"/>
  <c r="E321" i="51"/>
  <c r="I318" i="51"/>
  <c r="Q315" i="51"/>
  <c r="I329" i="51"/>
  <c r="B330" i="51"/>
  <c r="E325" i="51"/>
  <c r="M326" i="51"/>
  <c r="L347" i="51"/>
  <c r="L341" i="51"/>
  <c r="F323" i="51"/>
  <c r="K318" i="51"/>
  <c r="L345" i="51"/>
  <c r="I322" i="51"/>
  <c r="B339" i="51"/>
  <c r="N321" i="51"/>
  <c r="F317" i="51"/>
  <c r="J319" i="51"/>
  <c r="I323" i="51"/>
  <c r="D326" i="51"/>
  <c r="E349" i="51"/>
  <c r="P322" i="51"/>
  <c r="D316" i="51"/>
  <c r="N350" i="51"/>
  <c r="M295" i="51"/>
  <c r="T272" i="51"/>
  <c r="B274" i="51"/>
  <c r="C266" i="51"/>
  <c r="M268" i="51"/>
  <c r="N281" i="51"/>
  <c r="N296" i="51"/>
  <c r="L267" i="51"/>
  <c r="N269" i="51"/>
  <c r="C290" i="51"/>
  <c r="E299" i="51"/>
  <c r="M276" i="51"/>
  <c r="G267" i="51"/>
  <c r="F287" i="51"/>
  <c r="D299" i="51"/>
  <c r="F280" i="51"/>
  <c r="R272" i="51"/>
  <c r="C275" i="51"/>
  <c r="I289" i="51"/>
  <c r="D271" i="51"/>
  <c r="G274" i="51"/>
  <c r="E276" i="51"/>
  <c r="T266" i="51"/>
  <c r="F290" i="51"/>
  <c r="J267" i="51"/>
  <c r="F286" i="51"/>
  <c r="Q267" i="51"/>
  <c r="I274" i="51"/>
  <c r="D276" i="51"/>
  <c r="G268" i="51"/>
  <c r="M297" i="51"/>
  <c r="F267" i="51"/>
  <c r="M280" i="51"/>
  <c r="N280" i="51"/>
  <c r="B267" i="51"/>
  <c r="B275" i="51"/>
  <c r="I271" i="51"/>
  <c r="F271" i="51"/>
  <c r="S271" i="51"/>
  <c r="I265" i="51"/>
  <c r="M271" i="51"/>
  <c r="E269" i="51"/>
  <c r="K272" i="51"/>
  <c r="D273" i="51"/>
  <c r="T267" i="51"/>
  <c r="T273" i="51"/>
  <c r="L294" i="51"/>
  <c r="C276" i="51"/>
  <c r="N270" i="51"/>
  <c r="R269" i="51"/>
  <c r="C299" i="51"/>
  <c r="M274" i="51"/>
  <c r="B276" i="51"/>
  <c r="I266" i="51"/>
  <c r="B288" i="51"/>
  <c r="J274" i="51"/>
  <c r="R273" i="51"/>
  <c r="M290" i="51"/>
  <c r="K276" i="51"/>
  <c r="P278" i="51"/>
  <c r="M275" i="51"/>
  <c r="L281" i="51"/>
  <c r="J277" i="51"/>
  <c r="P270" i="51"/>
  <c r="L299" i="51"/>
  <c r="G269" i="51"/>
  <c r="L291" i="51"/>
  <c r="D274" i="51"/>
  <c r="Q268" i="51"/>
  <c r="U271" i="51"/>
  <c r="L280" i="51"/>
  <c r="J270" i="51"/>
  <c r="J291" i="51"/>
  <c r="J289" i="51"/>
  <c r="K289" i="51"/>
  <c r="F275" i="51"/>
  <c r="F274" i="51"/>
  <c r="C287" i="51"/>
  <c r="S280" i="51"/>
  <c r="G266" i="51"/>
  <c r="I269" i="51"/>
  <c r="C270" i="51"/>
  <c r="M296" i="51"/>
  <c r="P272" i="51"/>
  <c r="M267" i="51"/>
  <c r="I275" i="51"/>
  <c r="J286" i="51"/>
  <c r="E286" i="51"/>
  <c r="S273" i="51"/>
  <c r="D275" i="51"/>
  <c r="C267" i="51"/>
  <c r="E279" i="51"/>
  <c r="B270" i="51"/>
  <c r="G271" i="51"/>
  <c r="B299" i="51"/>
  <c r="U267" i="51"/>
  <c r="I277" i="51"/>
  <c r="G275" i="51"/>
  <c r="I272" i="51"/>
  <c r="S267" i="51"/>
  <c r="P268" i="51"/>
  <c r="F266" i="51"/>
  <c r="D279" i="51"/>
  <c r="M298" i="51"/>
  <c r="F273" i="51"/>
  <c r="N276" i="51"/>
  <c r="D270" i="51"/>
  <c r="B264" i="51"/>
  <c r="M289" i="51"/>
  <c r="M288" i="51"/>
  <c r="S269" i="51"/>
  <c r="P273" i="51"/>
  <c r="M286" i="51"/>
  <c r="D288" i="51"/>
  <c r="K269" i="51"/>
  <c r="U272" i="51"/>
  <c r="S272" i="51"/>
  <c r="B290" i="51"/>
  <c r="Q270" i="51"/>
  <c r="H299" i="51"/>
  <c r="P282" i="51"/>
  <c r="I286" i="51"/>
  <c r="J299" i="51"/>
  <c r="L271" i="51"/>
  <c r="L266" i="51"/>
  <c r="M299" i="51"/>
  <c r="D269" i="51"/>
  <c r="N274" i="51"/>
  <c r="G279" i="51"/>
  <c r="M270" i="51"/>
  <c r="G272" i="51"/>
  <c r="N273" i="51"/>
  <c r="L286" i="51"/>
  <c r="L300" i="51"/>
  <c r="P277" i="51"/>
  <c r="E289" i="51"/>
  <c r="J265" i="51"/>
  <c r="K299" i="51"/>
  <c r="K288" i="51"/>
  <c r="S278" i="51"/>
  <c r="K290" i="51"/>
  <c r="M277" i="51"/>
  <c r="I290" i="51"/>
  <c r="F269" i="51"/>
  <c r="F291" i="51"/>
  <c r="B266" i="51"/>
  <c r="S281" i="51"/>
  <c r="G270" i="51"/>
  <c r="J271" i="51"/>
  <c r="Q265" i="51"/>
  <c r="B291" i="51"/>
  <c r="N300" i="51"/>
  <c r="K280" i="51"/>
  <c r="L277" i="51"/>
  <c r="T271" i="51"/>
  <c r="J268" i="51"/>
  <c r="R267" i="51"/>
  <c r="P265" i="51"/>
  <c r="T269" i="51"/>
  <c r="D289" i="51"/>
  <c r="B286" i="51"/>
  <c r="K271" i="51"/>
  <c r="Q272" i="51"/>
  <c r="I276" i="51"/>
  <c r="F268" i="51"/>
  <c r="I267" i="51"/>
  <c r="L268" i="51"/>
  <c r="D272" i="51"/>
  <c r="L297" i="51"/>
  <c r="D291" i="51"/>
  <c r="D286" i="51"/>
  <c r="K268" i="51"/>
  <c r="E268" i="51"/>
  <c r="I291" i="51"/>
  <c r="E274" i="51"/>
  <c r="B287" i="51"/>
  <c r="E288" i="51"/>
  <c r="F288" i="51"/>
  <c r="C274" i="51"/>
  <c r="R271" i="51"/>
  <c r="E275" i="51"/>
  <c r="U266" i="51"/>
  <c r="F289" i="51"/>
  <c r="Q273" i="51"/>
  <c r="P276" i="51"/>
  <c r="N268" i="51"/>
  <c r="R268" i="51"/>
  <c r="M291" i="51"/>
  <c r="K274" i="51"/>
  <c r="I299" i="51"/>
  <c r="J272" i="51"/>
  <c r="K286" i="51"/>
  <c r="C265" i="51"/>
  <c r="S268" i="51"/>
  <c r="B272" i="51"/>
  <c r="K267" i="51"/>
  <c r="Q271" i="51"/>
  <c r="E272" i="51"/>
  <c r="L288" i="51"/>
  <c r="S279" i="51"/>
  <c r="L275" i="51"/>
  <c r="S282" i="51"/>
  <c r="U269" i="51"/>
  <c r="P279" i="51"/>
  <c r="K273" i="51"/>
  <c r="T270" i="51"/>
  <c r="K266" i="51"/>
  <c r="L287" i="51"/>
  <c r="I270" i="51"/>
  <c r="K291" i="51"/>
  <c r="C271" i="51"/>
  <c r="C272" i="51"/>
  <c r="M269" i="51"/>
  <c r="N299" i="51"/>
  <c r="C273" i="51"/>
  <c r="L269" i="51"/>
  <c r="N272" i="51"/>
  <c r="D287" i="51"/>
  <c r="M281" i="51"/>
  <c r="L272" i="51"/>
  <c r="D280" i="51"/>
  <c r="B289" i="51"/>
  <c r="L296" i="51"/>
  <c r="N295" i="51"/>
  <c r="M300" i="51"/>
  <c r="M266" i="51"/>
  <c r="N298" i="51"/>
  <c r="L289" i="51"/>
  <c r="S270" i="51"/>
  <c r="P269" i="51"/>
  <c r="I288" i="51"/>
  <c r="P271" i="51"/>
  <c r="U270" i="51"/>
  <c r="Q266" i="51"/>
  <c r="I268" i="51"/>
  <c r="L295" i="51"/>
  <c r="B273" i="51"/>
  <c r="G276" i="51"/>
  <c r="J269" i="51"/>
  <c r="B279" i="51"/>
  <c r="N297" i="51"/>
  <c r="C289" i="51"/>
  <c r="M287" i="51"/>
  <c r="R266" i="51"/>
  <c r="E270" i="51"/>
  <c r="S266" i="51"/>
  <c r="J287" i="51"/>
  <c r="B296" i="51"/>
  <c r="L273" i="51"/>
  <c r="B294" i="51"/>
  <c r="L298" i="51"/>
  <c r="D266" i="51"/>
  <c r="E273" i="51"/>
  <c r="M272" i="51"/>
  <c r="E267" i="51"/>
  <c r="C291" i="51"/>
  <c r="F279" i="51"/>
  <c r="J273" i="51"/>
  <c r="G299" i="51"/>
  <c r="D268" i="51"/>
  <c r="Q277" i="51"/>
  <c r="I285" i="51"/>
  <c r="F276" i="51"/>
  <c r="T268" i="51"/>
  <c r="D267" i="51"/>
  <c r="J275" i="51"/>
  <c r="J266" i="51"/>
  <c r="P267" i="51"/>
  <c r="J288" i="51"/>
  <c r="B268" i="51"/>
  <c r="K281" i="51"/>
  <c r="B271" i="51"/>
  <c r="K277" i="51"/>
  <c r="P281" i="51"/>
  <c r="B269" i="51"/>
  <c r="N271" i="51"/>
  <c r="U273" i="51"/>
  <c r="R270" i="51"/>
  <c r="B265" i="51"/>
  <c r="E266" i="51"/>
  <c r="P280" i="51"/>
  <c r="C268" i="51"/>
  <c r="G273" i="51"/>
  <c r="K287" i="51"/>
  <c r="I280" i="51"/>
  <c r="K270" i="51"/>
  <c r="C288" i="51"/>
  <c r="U268" i="51"/>
  <c r="B285" i="51"/>
  <c r="J290" i="51"/>
  <c r="C286" i="51"/>
  <c r="G280" i="51"/>
  <c r="K275" i="51"/>
  <c r="L276" i="51"/>
  <c r="F299" i="51"/>
  <c r="N266" i="51"/>
  <c r="E290" i="51"/>
  <c r="N275" i="51"/>
  <c r="N267" i="51"/>
  <c r="M273" i="51"/>
  <c r="E291" i="51"/>
  <c r="J276" i="51"/>
  <c r="N277" i="51"/>
  <c r="F272" i="51"/>
  <c r="L290" i="51"/>
  <c r="E287" i="51"/>
  <c r="P266" i="51"/>
  <c r="E271" i="51"/>
  <c r="Q269" i="51"/>
  <c r="I273" i="51"/>
  <c r="C269" i="51"/>
  <c r="L270" i="51"/>
  <c r="D290" i="51"/>
  <c r="I287" i="51"/>
  <c r="L274" i="51"/>
  <c r="F270" i="51"/>
  <c r="E280" i="51"/>
  <c r="V8" i="51" l="1"/>
  <c r="V44" i="51"/>
  <c r="J37" i="51"/>
  <c r="AQ14" i="51"/>
  <c r="K12" i="51"/>
  <c r="AD18" i="51"/>
  <c r="AD17" i="51" s="1"/>
  <c r="S4" i="51"/>
  <c r="G4" i="51"/>
  <c r="F4" i="51" s="1"/>
  <c r="E4" i="51" s="1"/>
  <c r="D4" i="51" s="1"/>
  <c r="V6" i="51"/>
  <c r="V7" i="51" s="1"/>
  <c r="C27" i="51"/>
  <c r="C8" i="51"/>
  <c r="Z22" i="51"/>
  <c r="Y22" i="51" s="1"/>
  <c r="X22" i="51" s="1"/>
  <c r="W22" i="51" s="1"/>
  <c r="AI2" i="51"/>
  <c r="C14" i="51"/>
  <c r="Z16" i="51"/>
  <c r="Y16" i="51" s="1"/>
  <c r="X16" i="51" s="1"/>
  <c r="W16" i="51" s="1"/>
  <c r="AU16" i="51"/>
  <c r="G14" i="51"/>
  <c r="F14" i="51" s="1"/>
  <c r="E14" i="51" s="1"/>
  <c r="D14" i="51" s="1"/>
  <c r="V2" i="51"/>
  <c r="AW14" i="51"/>
  <c r="Z8" i="51"/>
  <c r="Y8" i="51" s="1"/>
  <c r="X8" i="51" s="1"/>
  <c r="W8" i="51" s="1"/>
  <c r="J26" i="51"/>
  <c r="R44" i="51"/>
  <c r="AQ8" i="51"/>
  <c r="C29" i="51"/>
  <c r="J35" i="51"/>
  <c r="V45" i="51"/>
  <c r="AM12" i="51"/>
  <c r="AF6" i="51"/>
  <c r="AB18" i="51"/>
  <c r="D26" i="51"/>
  <c r="F44" i="51"/>
  <c r="D44" i="51" s="1"/>
  <c r="E44" i="51" s="1"/>
  <c r="AI8" i="51"/>
  <c r="C28" i="51"/>
  <c r="AF16" i="51"/>
  <c r="AE16" i="51" s="1"/>
  <c r="G18" i="51"/>
  <c r="F18" i="51" s="1"/>
  <c r="E18" i="51" s="1"/>
  <c r="D18" i="51" s="1"/>
  <c r="E33" i="51"/>
  <c r="D28" i="51"/>
  <c r="AD6" i="51"/>
  <c r="V48" i="51"/>
  <c r="AI14" i="51"/>
  <c r="AQ16" i="51"/>
  <c r="S14" i="51"/>
  <c r="M34" i="51"/>
  <c r="S20" i="51"/>
  <c r="AB6" i="51"/>
  <c r="AU14" i="51"/>
  <c r="V49" i="51"/>
  <c r="AI6" i="51"/>
  <c r="D37" i="51"/>
  <c r="Z14" i="51"/>
  <c r="O8" i="51"/>
  <c r="AQ6" i="51"/>
  <c r="AB4" i="51"/>
  <c r="L36" i="51"/>
  <c r="V47" i="51"/>
  <c r="E37" i="51"/>
  <c r="M36" i="51"/>
  <c r="AQ12" i="51"/>
  <c r="C26" i="51"/>
  <c r="F34" i="51"/>
  <c r="M33" i="51"/>
  <c r="Z18" i="51"/>
  <c r="Y18" i="51" s="1"/>
  <c r="X18" i="51" s="1"/>
  <c r="W18" i="51" s="1"/>
  <c r="T43" i="51"/>
  <c r="K29" i="51"/>
  <c r="AF4" i="51"/>
  <c r="J33" i="51"/>
  <c r="D35" i="51"/>
  <c r="G6" i="51"/>
  <c r="F6" i="51" s="1"/>
  <c r="E6" i="51" s="1"/>
  <c r="D6" i="51" s="1"/>
  <c r="AB12" i="51"/>
  <c r="K10" i="51"/>
  <c r="O6" i="51"/>
  <c r="AB8" i="51"/>
  <c r="K26" i="51"/>
  <c r="O4" i="51"/>
  <c r="AQ10" i="51"/>
  <c r="AU6" i="51"/>
  <c r="AU4" i="51"/>
  <c r="AF23" i="51"/>
  <c r="C6" i="51"/>
  <c r="AB22" i="51"/>
  <c r="AC22" i="51" s="1"/>
  <c r="S8" i="51"/>
  <c r="L37" i="51"/>
  <c r="F37" i="51"/>
  <c r="J44" i="51"/>
  <c r="AW4" i="51"/>
  <c r="O14" i="51"/>
  <c r="C37" i="51"/>
  <c r="K16" i="51"/>
  <c r="Z20" i="51"/>
  <c r="Y20" i="51" s="1"/>
  <c r="X20" i="51" s="1"/>
  <c r="W20" i="51" s="1"/>
  <c r="K27" i="51"/>
  <c r="AF10" i="51"/>
  <c r="R49" i="51"/>
  <c r="B49" i="51"/>
  <c r="D36" i="51"/>
  <c r="J34" i="51"/>
  <c r="J28" i="51"/>
  <c r="K36" i="51"/>
  <c r="U44" i="51"/>
  <c r="AM16" i="51"/>
  <c r="C12" i="51"/>
  <c r="AM14" i="51"/>
  <c r="O18" i="51"/>
  <c r="AB23" i="51"/>
  <c r="C35" i="51"/>
  <c r="AI4" i="51"/>
  <c r="F36" i="51"/>
  <c r="AF20" i="51"/>
  <c r="K6" i="51"/>
  <c r="AW10" i="51"/>
  <c r="K34" i="51"/>
  <c r="V23" i="51"/>
  <c r="F32" i="51"/>
  <c r="AU8" i="51"/>
  <c r="AD20" i="51"/>
  <c r="U46" i="51"/>
  <c r="AD10" i="51"/>
  <c r="E34" i="51"/>
  <c r="L34" i="51"/>
  <c r="D29" i="51"/>
  <c r="AF8" i="51"/>
  <c r="K35" i="51"/>
  <c r="AI10" i="51"/>
  <c r="L35" i="51"/>
  <c r="K22" i="51"/>
  <c r="U49" i="51"/>
  <c r="AD8" i="51"/>
  <c r="K8" i="51"/>
  <c r="S22" i="51"/>
  <c r="N44" i="51"/>
  <c r="AB16" i="51"/>
  <c r="J49" i="51"/>
  <c r="K28" i="51"/>
  <c r="AB20" i="51"/>
  <c r="E36" i="51"/>
  <c r="C36" i="51"/>
  <c r="D32" i="51"/>
  <c r="AD4" i="51"/>
  <c r="G16" i="51"/>
  <c r="F16" i="51" s="1"/>
  <c r="E16" i="51" s="1"/>
  <c r="D16" i="51" s="1"/>
  <c r="J29" i="51"/>
  <c r="E32" i="51"/>
  <c r="AF14" i="51"/>
  <c r="AE14" i="51" s="1"/>
  <c r="Z6" i="51"/>
  <c r="Y6" i="51" s="1"/>
  <c r="X6" i="51" s="1"/>
  <c r="W6" i="51" s="1"/>
  <c r="D27" i="51"/>
  <c r="E35" i="51"/>
  <c r="AW8" i="51"/>
  <c r="F49" i="51"/>
  <c r="G22" i="51"/>
  <c r="F22" i="51" s="1"/>
  <c r="E22" i="51" s="1"/>
  <c r="D22" i="51" s="1"/>
  <c r="C18" i="51"/>
  <c r="V12" i="51"/>
  <c r="C22" i="51"/>
  <c r="AD12" i="51"/>
  <c r="AD13" i="51" s="1"/>
  <c r="J27" i="51"/>
  <c r="V14" i="51"/>
  <c r="AB10" i="51"/>
  <c r="F35" i="51"/>
  <c r="AW16" i="51"/>
  <c r="C4" i="51"/>
  <c r="AI12" i="51"/>
  <c r="AM4" i="51"/>
  <c r="T44" i="51"/>
  <c r="O12" i="51"/>
  <c r="S10" i="51"/>
  <c r="U47" i="51"/>
  <c r="C20" i="51"/>
  <c r="AI16" i="51"/>
  <c r="AF22" i="51"/>
  <c r="AE22" i="51" s="1"/>
  <c r="K20" i="51"/>
  <c r="G12" i="51"/>
  <c r="F12" i="51" s="1"/>
  <c r="E12" i="51" s="1"/>
  <c r="D12" i="51" s="1"/>
  <c r="N49" i="51"/>
  <c r="O22" i="51"/>
  <c r="C2" i="51"/>
  <c r="AU10" i="51"/>
  <c r="AW6" i="51"/>
  <c r="V22" i="51"/>
  <c r="AC31" i="51"/>
  <c r="B33" i="51"/>
  <c r="AF34" i="51"/>
  <c r="AE34" i="51" s="1"/>
  <c r="K37" i="51"/>
  <c r="S16" i="51"/>
  <c r="V18" i="51"/>
  <c r="C10" i="51"/>
  <c r="Z10" i="51"/>
  <c r="Y10" i="51" s="1"/>
  <c r="X10" i="51" s="1"/>
  <c r="W10" i="51" s="1"/>
  <c r="AD23" i="51"/>
  <c r="K4" i="51"/>
  <c r="K14" i="51"/>
  <c r="D33" i="51"/>
  <c r="C33" i="51"/>
  <c r="M37" i="51"/>
  <c r="Z4" i="51"/>
  <c r="Y4" i="51" s="1"/>
  <c r="X4" i="51" s="1"/>
  <c r="W4" i="51" s="1"/>
  <c r="C32" i="51"/>
  <c r="G8" i="51"/>
  <c r="F8" i="51" s="1"/>
  <c r="E8" i="51" s="1"/>
  <c r="D8" i="51" s="1"/>
  <c r="F33" i="51"/>
  <c r="D34" i="51"/>
  <c r="G20" i="51"/>
  <c r="F20" i="51" s="1"/>
  <c r="E20" i="51" s="1"/>
  <c r="D20" i="51" s="1"/>
  <c r="K18" i="51"/>
  <c r="U48" i="51"/>
  <c r="G10" i="51"/>
  <c r="F10" i="51" s="1"/>
  <c r="E10" i="51" s="1"/>
  <c r="D10" i="51" s="1"/>
  <c r="V10" i="51"/>
  <c r="K33" i="51"/>
  <c r="S12" i="51"/>
  <c r="V16" i="51"/>
  <c r="L33" i="51"/>
  <c r="S18" i="51"/>
  <c r="M35" i="51"/>
  <c r="Z12" i="51"/>
  <c r="Y12" i="51" s="1"/>
  <c r="X12" i="51" s="1"/>
  <c r="W12" i="51" s="1"/>
  <c r="O20" i="51"/>
  <c r="V46" i="51"/>
  <c r="X45" i="51" s="1"/>
  <c r="O10" i="51"/>
  <c r="V20" i="51"/>
  <c r="V4" i="51"/>
  <c r="AM8" i="51"/>
  <c r="O16" i="51"/>
  <c r="S6" i="51"/>
  <c r="Z23" i="51"/>
  <c r="Y23" i="51" s="1"/>
  <c r="X23" i="51" s="1"/>
  <c r="W23" i="51" s="1"/>
  <c r="C16" i="51"/>
  <c r="C34" i="51"/>
  <c r="AB14" i="51"/>
  <c r="AC14" i="51" s="1"/>
  <c r="U45" i="51"/>
  <c r="AM6" i="51"/>
  <c r="AF18" i="51"/>
  <c r="AQ4" i="51"/>
  <c r="AF12" i="51"/>
  <c r="AM10" i="51"/>
  <c r="AW11" i="51"/>
  <c r="AW12" i="51"/>
  <c r="AD35" i="51"/>
  <c r="AG35" i="51"/>
  <c r="AE35" i="51"/>
  <c r="AD15" i="51"/>
  <c r="AE36" i="51"/>
  <c r="AG36" i="51"/>
  <c r="AD36" i="51"/>
  <c r="AD37" i="51"/>
  <c r="AG37" i="51"/>
  <c r="AE37" i="51"/>
  <c r="AG33" i="51"/>
  <c r="AD33" i="51"/>
  <c r="AE33" i="51"/>
  <c r="AU12" i="51"/>
  <c r="AU11" i="51"/>
  <c r="AI7" i="51" l="1"/>
  <c r="AF11" i="51"/>
  <c r="W24" i="51"/>
  <c r="G32" i="21" s="1"/>
  <c r="W45" i="51"/>
  <c r="G47" i="21" s="1"/>
  <c r="L47" i="21" s="1"/>
  <c r="Q10" i="51"/>
  <c r="R10" i="51" s="1"/>
  <c r="AF9" i="51"/>
  <c r="AE18" i="51"/>
  <c r="N33" i="51"/>
  <c r="G42" i="21" s="1"/>
  <c r="AM7" i="51"/>
  <c r="AK7" i="51" s="1"/>
  <c r="AL7" i="51" s="1"/>
  <c r="AD19" i="51"/>
  <c r="AQ15" i="51"/>
  <c r="AC18" i="51"/>
  <c r="V5" i="51"/>
  <c r="AC10" i="51"/>
  <c r="AS14" i="51"/>
  <c r="AT14" i="51" s="1"/>
  <c r="AO14" i="51"/>
  <c r="AP14" i="51" s="1"/>
  <c r="AK8" i="51"/>
  <c r="AJ8" i="51" s="1"/>
  <c r="AB17" i="51"/>
  <c r="AC17" i="51" s="1"/>
  <c r="Q4" i="51"/>
  <c r="R4" i="51" s="1"/>
  <c r="M12" i="51"/>
  <c r="N12" i="51" s="1"/>
  <c r="K11" i="51"/>
  <c r="C9" i="51"/>
  <c r="AE6" i="51"/>
  <c r="AS6" i="51"/>
  <c r="AT6" i="51" s="1"/>
  <c r="AA22" i="51"/>
  <c r="AF13" i="51"/>
  <c r="AE13" i="51" s="1"/>
  <c r="V11" i="51"/>
  <c r="AC23" i="51"/>
  <c r="AS10" i="51"/>
  <c r="AT10" i="51" s="1"/>
  <c r="S7" i="51"/>
  <c r="AS16" i="51"/>
  <c r="AT16" i="51" s="1"/>
  <c r="AB19" i="51"/>
  <c r="K17" i="51"/>
  <c r="C7" i="51"/>
  <c r="AO16" i="51"/>
  <c r="AP16" i="51" s="1"/>
  <c r="E26" i="51"/>
  <c r="G37" i="21" s="1"/>
  <c r="Q8" i="51"/>
  <c r="R8" i="51" s="1"/>
  <c r="AW15" i="51"/>
  <c r="Z19" i="51"/>
  <c r="Y19" i="51" s="1"/>
  <c r="X19" i="51" s="1"/>
  <c r="W19" i="51" s="1"/>
  <c r="AC20" i="51"/>
  <c r="Z11" i="51"/>
  <c r="Y11" i="51" s="1"/>
  <c r="X11" i="51" s="1"/>
  <c r="W11" i="51" s="1"/>
  <c r="AA20" i="51"/>
  <c r="AV16" i="51"/>
  <c r="AQ9" i="51"/>
  <c r="V9" i="51"/>
  <c r="C19" i="51"/>
  <c r="K21" i="51"/>
  <c r="M20" i="51"/>
  <c r="N20" i="51" s="1"/>
  <c r="O19" i="51"/>
  <c r="AB21" i="51"/>
  <c r="AK6" i="51"/>
  <c r="AL6" i="51" s="1"/>
  <c r="V17" i="51"/>
  <c r="AD7" i="51"/>
  <c r="S5" i="51"/>
  <c r="I14" i="51"/>
  <c r="J14" i="51" s="1"/>
  <c r="H44" i="51"/>
  <c r="I44" i="51" s="1"/>
  <c r="AO10" i="51"/>
  <c r="AP10" i="51" s="1"/>
  <c r="V15" i="51"/>
  <c r="AD5" i="51"/>
  <c r="P44" i="51"/>
  <c r="Q44" i="51" s="1"/>
  <c r="AE20" i="51"/>
  <c r="C13" i="51"/>
  <c r="AO6" i="51"/>
  <c r="AP6" i="51" s="1"/>
  <c r="Q20" i="51"/>
  <c r="R20" i="51" s="1"/>
  <c r="AF7" i="51"/>
  <c r="AO8" i="51"/>
  <c r="AP8" i="51" s="1"/>
  <c r="AE23" i="51"/>
  <c r="I18" i="51"/>
  <c r="J18" i="51" s="1"/>
  <c r="S9" i="51"/>
  <c r="H49" i="51"/>
  <c r="I49" i="51" s="1"/>
  <c r="AI11" i="51"/>
  <c r="AE10" i="51"/>
  <c r="I6" i="51"/>
  <c r="J6" i="51" s="1"/>
  <c r="D49" i="51"/>
  <c r="E49" i="51" s="1"/>
  <c r="AB13" i="51"/>
  <c r="AC13" i="51" s="1"/>
  <c r="AC6" i="51"/>
  <c r="L44" i="51"/>
  <c r="M44" i="51" s="1"/>
  <c r="Z7" i="51"/>
  <c r="AA23" i="51"/>
  <c r="AQ5" i="51"/>
  <c r="AM5" i="51"/>
  <c r="AV8" i="51"/>
  <c r="AI5" i="51"/>
  <c r="AO12" i="51"/>
  <c r="AP12" i="51" s="1"/>
  <c r="Z9" i="51"/>
  <c r="Y9" i="51" s="1"/>
  <c r="X9" i="51" s="1"/>
  <c r="W9" i="51" s="1"/>
  <c r="AK16" i="51"/>
  <c r="AL16" i="51" s="1"/>
  <c r="AK12" i="51"/>
  <c r="AL12" i="51" s="1"/>
  <c r="AA8" i="51"/>
  <c r="G13" i="51"/>
  <c r="F13" i="51" s="1"/>
  <c r="E13" i="51" s="1"/>
  <c r="D13" i="51" s="1"/>
  <c r="AB5" i="51"/>
  <c r="K5" i="51"/>
  <c r="AV6" i="51"/>
  <c r="I16" i="51"/>
  <c r="J16" i="51" s="1"/>
  <c r="AF15" i="51"/>
  <c r="AE15" i="51" s="1"/>
  <c r="AC4" i="51"/>
  <c r="AA10" i="51"/>
  <c r="AD34" i="51"/>
  <c r="AD9" i="51"/>
  <c r="AI13" i="51"/>
  <c r="AC8" i="51"/>
  <c r="AI15" i="51"/>
  <c r="G15" i="51"/>
  <c r="F15" i="51" s="1"/>
  <c r="E15" i="51" s="1"/>
  <c r="D15" i="51" s="1"/>
  <c r="AB7" i="51"/>
  <c r="AQ13" i="51"/>
  <c r="S13" i="51"/>
  <c r="AG34" i="51"/>
  <c r="AH33" i="51" s="1"/>
  <c r="G43" i="21" s="1"/>
  <c r="V13" i="51"/>
  <c r="AK14" i="51"/>
  <c r="AL14" i="51" s="1"/>
  <c r="AA12" i="51"/>
  <c r="AA16" i="51"/>
  <c r="G5" i="51"/>
  <c r="F5" i="51" s="1"/>
  <c r="E5" i="51" s="1"/>
  <c r="D5" i="51" s="1"/>
  <c r="S15" i="51"/>
  <c r="Q6" i="51"/>
  <c r="R6" i="51" s="1"/>
  <c r="AM15" i="51"/>
  <c r="AB9" i="51"/>
  <c r="AM13" i="51"/>
  <c r="V21" i="51"/>
  <c r="L49" i="51"/>
  <c r="M49" i="51" s="1"/>
  <c r="Q14" i="51"/>
  <c r="R14" i="51" s="1"/>
  <c r="M10" i="51"/>
  <c r="N10" i="51" s="1"/>
  <c r="AW9" i="51"/>
  <c r="S17" i="51"/>
  <c r="I12" i="51"/>
  <c r="J12" i="51" s="1"/>
  <c r="AU15" i="51"/>
  <c r="M18" i="51"/>
  <c r="N18" i="51" s="1"/>
  <c r="M6" i="51"/>
  <c r="N6" i="51" s="1"/>
  <c r="AB15" i="51"/>
  <c r="AC15" i="51" s="1"/>
  <c r="AF21" i="51"/>
  <c r="O11" i="51"/>
  <c r="Q12" i="51"/>
  <c r="R12" i="51" s="1"/>
  <c r="P49" i="51"/>
  <c r="Q49" i="51" s="1"/>
  <c r="AK10" i="51"/>
  <c r="AL10" i="51" s="1"/>
  <c r="AD11" i="51"/>
  <c r="K7" i="51"/>
  <c r="AW5" i="51"/>
  <c r="AU5" i="51"/>
  <c r="AC12" i="51"/>
  <c r="G19" i="51"/>
  <c r="F19" i="51" s="1"/>
  <c r="E19" i="51" s="1"/>
  <c r="D19" i="51" s="1"/>
  <c r="V19" i="51"/>
  <c r="C17" i="51"/>
  <c r="AS4" i="51"/>
  <c r="AT4" i="51" s="1"/>
  <c r="AQ7" i="51"/>
  <c r="G11" i="51"/>
  <c r="F11" i="51" s="1"/>
  <c r="E11" i="51" s="1"/>
  <c r="D11" i="51" s="1"/>
  <c r="O7" i="51"/>
  <c r="I4" i="51"/>
  <c r="H4" i="51" s="1"/>
  <c r="L26" i="51"/>
  <c r="G38" i="21" s="1"/>
  <c r="G33" i="51"/>
  <c r="G41" i="21" s="1"/>
  <c r="S21" i="51"/>
  <c r="I20" i="51"/>
  <c r="J20" i="51" s="1"/>
  <c r="M4" i="51"/>
  <c r="N4" i="51" s="1"/>
  <c r="I8" i="51"/>
  <c r="J8" i="51" s="1"/>
  <c r="AU7" i="51"/>
  <c r="Z13" i="51"/>
  <c r="Y13" i="51" s="1"/>
  <c r="X13" i="51" s="1"/>
  <c r="W13" i="51" s="1"/>
  <c r="O13" i="51"/>
  <c r="Q18" i="51"/>
  <c r="P18" i="51" s="1"/>
  <c r="AF19" i="51"/>
  <c r="O17" i="51"/>
  <c r="AW7" i="51"/>
  <c r="C21" i="51"/>
  <c r="AE4" i="51"/>
  <c r="C5" i="51"/>
  <c r="AA14" i="51"/>
  <c r="S19" i="51"/>
  <c r="K19" i="51"/>
  <c r="K13" i="51"/>
  <c r="I22" i="51"/>
  <c r="J22" i="51" s="1"/>
  <c r="AA18" i="51"/>
  <c r="M16" i="51"/>
  <c r="N16" i="51" s="1"/>
  <c r="AO4" i="51"/>
  <c r="AP4" i="51" s="1"/>
  <c r="K9" i="51"/>
  <c r="Z5" i="51"/>
  <c r="Y5" i="51" s="1"/>
  <c r="X5" i="51" s="1"/>
  <c r="W5" i="51" s="1"/>
  <c r="AF5" i="51"/>
  <c r="AI9" i="51"/>
  <c r="AJ17" i="51" s="1"/>
  <c r="G33" i="21" s="1"/>
  <c r="G17" i="51"/>
  <c r="F17" i="51" s="1"/>
  <c r="E17" i="51" s="1"/>
  <c r="D17" i="51" s="1"/>
  <c r="O9" i="51"/>
  <c r="Z17" i="51"/>
  <c r="Y17" i="51" s="1"/>
  <c r="X17" i="51" s="1"/>
  <c r="W17" i="51" s="1"/>
  <c r="M8" i="51"/>
  <c r="N8" i="51" s="1"/>
  <c r="AM11" i="51"/>
  <c r="AD21" i="51"/>
  <c r="AA4" i="51"/>
  <c r="AM9" i="51"/>
  <c r="O21" i="51"/>
  <c r="I10" i="51"/>
  <c r="J10" i="51" s="1"/>
  <c r="AE8" i="51"/>
  <c r="Y14" i="51"/>
  <c r="X14" i="51" s="1"/>
  <c r="W14" i="51" s="1"/>
  <c r="M22" i="51"/>
  <c r="N22" i="51" s="1"/>
  <c r="AS8" i="51"/>
  <c r="AT8" i="51" s="1"/>
  <c r="C11" i="51"/>
  <c r="Q22" i="51"/>
  <c r="R22" i="51" s="1"/>
  <c r="AA6" i="51"/>
  <c r="AB11" i="51"/>
  <c r="AU9" i="51"/>
  <c r="AV4" i="51"/>
  <c r="AF17" i="51"/>
  <c r="AE17" i="51" s="1"/>
  <c r="Z15" i="51"/>
  <c r="Y15" i="51" s="1"/>
  <c r="X15" i="51" s="1"/>
  <c r="W15" i="51" s="1"/>
  <c r="AV14" i="51"/>
  <c r="C15" i="51"/>
  <c r="AV10" i="51"/>
  <c r="M14" i="51"/>
  <c r="N14" i="51" s="1"/>
  <c r="AK4" i="51"/>
  <c r="AJ4" i="51" s="1"/>
  <c r="AQ11" i="51"/>
  <c r="AS11" i="51" s="1"/>
  <c r="AT11" i="51" s="1"/>
  <c r="AE12" i="51"/>
  <c r="G9" i="51"/>
  <c r="F9" i="51" s="1"/>
  <c r="E9" i="51" s="1"/>
  <c r="D9" i="51" s="1"/>
  <c r="K15" i="51"/>
  <c r="O15" i="51"/>
  <c r="G7" i="51"/>
  <c r="F7" i="51" s="1"/>
  <c r="E7" i="51" s="1"/>
  <c r="D7" i="51" s="1"/>
  <c r="Q16" i="51"/>
  <c r="P16" i="51" s="1"/>
  <c r="Z21" i="51"/>
  <c r="Y21" i="51" s="1"/>
  <c r="X21" i="51" s="1"/>
  <c r="W21" i="51" s="1"/>
  <c r="O5" i="51"/>
  <c r="AC16" i="51"/>
  <c r="AU13" i="51"/>
  <c r="S11" i="51"/>
  <c r="G21" i="51"/>
  <c r="F21" i="51" s="1"/>
  <c r="E21" i="51" s="1"/>
  <c r="D21" i="51" s="1"/>
  <c r="AS12" i="51"/>
  <c r="AV11" i="51"/>
  <c r="C44" i="51"/>
  <c r="B45" i="51" s="1"/>
  <c r="G50" i="21" s="1"/>
  <c r="G49" i="21" s="1"/>
  <c r="G51" i="21" s="1"/>
  <c r="AV12" i="51"/>
  <c r="AW13" i="51"/>
  <c r="AN14" i="51" l="1"/>
  <c r="AO15" i="51"/>
  <c r="AP15" i="51" s="1"/>
  <c r="AE11" i="51"/>
  <c r="P10" i="51"/>
  <c r="AL8" i="51"/>
  <c r="AO7" i="51"/>
  <c r="AP7" i="51" s="1"/>
  <c r="AS15" i="51"/>
  <c r="AT15" i="51" s="1"/>
  <c r="AE9" i="51"/>
  <c r="L12" i="51"/>
  <c r="AE19" i="51"/>
  <c r="AK11" i="51"/>
  <c r="AL11" i="51" s="1"/>
  <c r="AR14" i="51"/>
  <c r="AC19" i="51"/>
  <c r="M5" i="51"/>
  <c r="N5" i="51" s="1"/>
  <c r="M11" i="51"/>
  <c r="N11" i="51" s="1"/>
  <c r="AA11" i="51"/>
  <c r="P4" i="51"/>
  <c r="AV9" i="51"/>
  <c r="P20" i="51"/>
  <c r="K49" i="51"/>
  <c r="AR6" i="51"/>
  <c r="Q11" i="51"/>
  <c r="R11" i="51" s="1"/>
  <c r="H14" i="51"/>
  <c r="P6" i="51"/>
  <c r="AN6" i="51"/>
  <c r="AA19" i="51"/>
  <c r="I21" i="51"/>
  <c r="J21" i="51" s="1"/>
  <c r="J4" i="51"/>
  <c r="M13" i="51"/>
  <c r="N13" i="51" s="1"/>
  <c r="L16" i="51"/>
  <c r="M17" i="51"/>
  <c r="N17" i="51" s="1"/>
  <c r="AS13" i="51"/>
  <c r="AR13" i="51" s="1"/>
  <c r="AE7" i="51"/>
  <c r="AN8" i="51"/>
  <c r="AC9" i="51"/>
  <c r="AL4" i="51"/>
  <c r="C49" i="51"/>
  <c r="B50" i="51" s="1"/>
  <c r="L50" i="21" s="1"/>
  <c r="L49" i="21" s="1"/>
  <c r="L51" i="21" s="1"/>
  <c r="L57" i="21" s="1"/>
  <c r="P52" i="4" s="1"/>
  <c r="P55" i="4" s="1"/>
  <c r="AA21" i="51"/>
  <c r="AN10" i="51"/>
  <c r="AC5" i="51"/>
  <c r="G44" i="51"/>
  <c r="H18" i="51"/>
  <c r="AO9" i="51"/>
  <c r="AP9" i="51" s="1"/>
  <c r="AJ12" i="51"/>
  <c r="AR16" i="51"/>
  <c r="M15" i="51"/>
  <c r="L15" i="51" s="1"/>
  <c r="AE5" i="51"/>
  <c r="I19" i="51"/>
  <c r="J19" i="51" s="1"/>
  <c r="AA7" i="51"/>
  <c r="AR10" i="51"/>
  <c r="AJ14" i="51"/>
  <c r="O44" i="51"/>
  <c r="L20" i="51"/>
  <c r="P8" i="51"/>
  <c r="Q9" i="51"/>
  <c r="R9" i="51" s="1"/>
  <c r="AV7" i="51"/>
  <c r="M7" i="51"/>
  <c r="N7" i="51" s="1"/>
  <c r="AS5" i="51"/>
  <c r="AR5" i="51" s="1"/>
  <c r="AO5" i="51"/>
  <c r="AP5" i="51" s="1"/>
  <c r="AN16" i="51"/>
  <c r="Q13" i="51"/>
  <c r="R13" i="51" s="1"/>
  <c r="Q19" i="51"/>
  <c r="R19" i="51" s="1"/>
  <c r="AC7" i="51"/>
  <c r="AJ6" i="51"/>
  <c r="K44" i="51"/>
  <c r="AA9" i="51"/>
  <c r="AJ16" i="51"/>
  <c r="G49" i="51"/>
  <c r="I15" i="51"/>
  <c r="J15" i="51" s="1"/>
  <c r="AN12" i="51"/>
  <c r="AK13" i="51"/>
  <c r="AL13" i="51" s="1"/>
  <c r="I5" i="51"/>
  <c r="J5" i="51" s="1"/>
  <c r="L22" i="51"/>
  <c r="M19" i="51"/>
  <c r="N19" i="51" s="1"/>
  <c r="Y7" i="51"/>
  <c r="X7" i="51" s="1"/>
  <c r="W7" i="51" s="1"/>
  <c r="Q21" i="51"/>
  <c r="R21" i="51" s="1"/>
  <c r="H6" i="51"/>
  <c r="AS9" i="51"/>
  <c r="AT9" i="51" s="1"/>
  <c r="AR4" i="51"/>
  <c r="I13" i="51"/>
  <c r="J13" i="51" s="1"/>
  <c r="AK5" i="51"/>
  <c r="AL5" i="51" s="1"/>
  <c r="P12" i="51"/>
  <c r="AO13" i="51"/>
  <c r="AP13" i="51" s="1"/>
  <c r="AK15" i="51"/>
  <c r="AJ15" i="51" s="1"/>
  <c r="AV15" i="51"/>
  <c r="G56" i="21"/>
  <c r="L51" i="4" s="1"/>
  <c r="O51" i="4" s="1"/>
  <c r="AS7" i="51"/>
  <c r="AT7" i="51" s="1"/>
  <c r="AV5" i="51"/>
  <c r="L10" i="51"/>
  <c r="I11" i="51"/>
  <c r="J11" i="51" s="1"/>
  <c r="Q15" i="51"/>
  <c r="R15" i="51" s="1"/>
  <c r="AK9" i="51"/>
  <c r="AJ9" i="51" s="1"/>
  <c r="L14" i="51"/>
  <c r="Q7" i="51"/>
  <c r="R7" i="51" s="1"/>
  <c r="Q17" i="51"/>
  <c r="R17" i="51" s="1"/>
  <c r="H20" i="51"/>
  <c r="AJ10" i="51"/>
  <c r="H22" i="51"/>
  <c r="D23" i="51"/>
  <c r="G31" i="21" s="1"/>
  <c r="R16" i="51"/>
  <c r="P14" i="51"/>
  <c r="L18" i="51"/>
  <c r="H16" i="51"/>
  <c r="H12" i="51"/>
  <c r="AA17" i="51"/>
  <c r="P22" i="51"/>
  <c r="M21" i="51"/>
  <c r="N21" i="51" s="1"/>
  <c r="O49" i="51"/>
  <c r="L4" i="51"/>
  <c r="AE21" i="51"/>
  <c r="L8" i="51"/>
  <c r="R18" i="51"/>
  <c r="AA13" i="51"/>
  <c r="I17" i="51"/>
  <c r="H17" i="51" s="1"/>
  <c r="I7" i="51"/>
  <c r="J7" i="51" s="1"/>
  <c r="Q5" i="51"/>
  <c r="R5" i="51" s="1"/>
  <c r="AN4" i="51"/>
  <c r="L6" i="51"/>
  <c r="H8" i="51"/>
  <c r="H10" i="51"/>
  <c r="AO11" i="51"/>
  <c r="AP11" i="51" s="1"/>
  <c r="M9" i="51"/>
  <c r="N9" i="51" s="1"/>
  <c r="AC11" i="51"/>
  <c r="I9" i="51"/>
  <c r="H9" i="51" s="1"/>
  <c r="AC21" i="51"/>
  <c r="AV13" i="51"/>
  <c r="AR8" i="51"/>
  <c r="AA15" i="51"/>
  <c r="AA5" i="51"/>
  <c r="AR11" i="51"/>
  <c r="AJ7" i="51"/>
  <c r="AT12" i="51"/>
  <c r="AR12" i="51"/>
  <c r="AN15" i="51" l="1"/>
  <c r="AN7" i="51"/>
  <c r="AJ11" i="51"/>
  <c r="AR15" i="51"/>
  <c r="L11" i="51"/>
  <c r="L5" i="51"/>
  <c r="P11" i="51"/>
  <c r="H21" i="51"/>
  <c r="L17" i="51"/>
  <c r="AT13" i="51"/>
  <c r="L13" i="51"/>
  <c r="AT5" i="51"/>
  <c r="P9" i="51"/>
  <c r="P19" i="51"/>
  <c r="L55" i="21"/>
  <c r="K52" i="4" s="1"/>
  <c r="N52" i="4" s="1"/>
  <c r="L56" i="21"/>
  <c r="L52" i="4" s="1"/>
  <c r="O52" i="4" s="1"/>
  <c r="O55" i="4" s="1"/>
  <c r="Q33" i="28" s="1"/>
  <c r="Q34" i="28" s="1"/>
  <c r="L36" i="28" s="1"/>
  <c r="T39" i="28" s="1"/>
  <c r="H15" i="51"/>
  <c r="L7" i="51"/>
  <c r="N15" i="51"/>
  <c r="AJ5" i="51"/>
  <c r="AN9" i="51"/>
  <c r="AN5" i="51"/>
  <c r="H19" i="51"/>
  <c r="H5" i="51"/>
  <c r="P13" i="51"/>
  <c r="P7" i="51"/>
  <c r="AJ13" i="51"/>
  <c r="H11" i="51"/>
  <c r="P21" i="51"/>
  <c r="AR9" i="51"/>
  <c r="P17" i="51"/>
  <c r="L19" i="51"/>
  <c r="AN13" i="51"/>
  <c r="AR7" i="51"/>
  <c r="H7" i="51"/>
  <c r="L21" i="51"/>
  <c r="AL15" i="51"/>
  <c r="J17" i="51"/>
  <c r="H13" i="51"/>
  <c r="P15" i="51"/>
  <c r="G55" i="21"/>
  <c r="K51" i="4" s="1"/>
  <c r="N51" i="4" s="1"/>
  <c r="AL9" i="51"/>
  <c r="P5" i="51"/>
  <c r="L9" i="51"/>
  <c r="AN11" i="51"/>
  <c r="J9" i="51"/>
  <c r="T40" i="28" l="1"/>
  <c r="S54" i="28" s="1"/>
  <c r="N36" i="28" s="1"/>
  <c r="N55" i="4"/>
  <c r="M36" i="2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 rut</author>
    <author>Valued Gateway Client</author>
    <author>MJ8</author>
  </authors>
  <commentList>
    <comment ref="N41" authorId="0" shapeId="0" xr:uid="{00000000-0006-0000-0200-000001000000}">
      <text>
        <r>
          <rPr>
            <b/>
            <sz val="8"/>
            <color indexed="81"/>
            <rFont val="Tahoma"/>
            <family val="2"/>
          </rPr>
          <t xml:space="preserve">PTDC for RA ceiling from Wrk  D1 or D2
</t>
        </r>
      </text>
    </comment>
    <comment ref="E68" authorId="1" shapeId="0" xr:uid="{00000000-0006-0000-0200-000002000000}">
      <text>
        <r>
          <rPr>
            <sz val="8"/>
            <color indexed="81"/>
            <rFont val="Tahoma"/>
            <family val="2"/>
          </rPr>
          <t>If a Procedure D ceiling or ceiling partition covers the entire space (level) below the ceiling and if this space ha</t>
        </r>
        <r>
          <rPr>
            <sz val="8"/>
            <color indexed="8"/>
            <rFont val="Tahoma"/>
            <family val="2"/>
          </rPr>
          <t>s no floor load, no floor-partition load,</t>
        </r>
        <r>
          <rPr>
            <sz val="8"/>
            <color indexed="81"/>
            <rFont val="Tahoma"/>
            <family val="2"/>
          </rPr>
          <t xml:space="preserve"> a partial exposed floor load or a partial floor-partition load enter 1 in column B. </t>
        </r>
        <r>
          <rPr>
            <sz val="8"/>
            <color indexed="10"/>
            <rFont val="Tahoma"/>
            <family val="2"/>
          </rPr>
          <t>If there is an exposed floor load or floor-partition load for the entire level below the ceiling, leave the cell blank.</t>
        </r>
      </text>
    </comment>
    <comment ref="G68" authorId="1" shapeId="0" xr:uid="{00000000-0006-0000-0200-000003000000}">
      <text>
        <r>
          <rPr>
            <b/>
            <sz val="8"/>
            <color indexed="81"/>
            <rFont val="Tahoma"/>
            <family val="2"/>
          </rPr>
          <t>Average above grade wall height for the space of consideration. (For an irregular shape, divide the panel area by the panel length.)</t>
        </r>
      </text>
    </comment>
    <comment ref="I68" authorId="1" shapeId="0" xr:uid="{00000000-0006-0000-0200-000004000000}">
      <text>
        <r>
          <rPr>
            <b/>
            <sz val="8"/>
            <color indexed="81"/>
            <rFont val="Tahoma"/>
            <family val="2"/>
          </rPr>
          <t>Enter 1 if space below ceiling is heated.</t>
        </r>
      </text>
    </comment>
    <comment ref="J68" authorId="1" shapeId="0" xr:uid="{00000000-0006-0000-0200-000005000000}">
      <text>
        <r>
          <rPr>
            <b/>
            <sz val="8"/>
            <color indexed="81"/>
            <rFont val="Tahoma"/>
            <family val="2"/>
          </rPr>
          <t>Enter 1 if space below ceiling has cooling.</t>
        </r>
      </text>
    </comment>
    <comment ref="C69" authorId="2" shapeId="0" xr:uid="{00000000-0006-0000-0200-000006000000}">
      <text>
        <r>
          <rPr>
            <sz val="8"/>
            <color indexed="81"/>
            <rFont val="Tahoma"/>
            <family val="2"/>
          </rPr>
          <t>Enter a 1 for the cases that apply.</t>
        </r>
      </text>
    </comment>
    <comment ref="E74" authorId="1" shapeId="0" xr:uid="{00000000-0006-0000-0200-000007000000}">
      <text>
        <r>
          <rPr>
            <sz val="8"/>
            <color indexed="81"/>
            <rFont val="Tahoma"/>
            <family val="2"/>
          </rPr>
          <t xml:space="preserve">If a Procedure D floor load or floor-partition load applies to the entire space (level) above the floor, enter 1 in column B. </t>
        </r>
        <r>
          <rPr>
            <sz val="8"/>
            <color indexed="10"/>
            <rFont val="Tahoma"/>
            <family val="2"/>
          </rPr>
          <t>If a Procedure D floor load or floor-partition load only applies to part of the level above the floor, leave the cell blank.</t>
        </r>
      </text>
    </comment>
    <comment ref="G74" authorId="1" shapeId="0" xr:uid="{00000000-0006-0000-0200-000008000000}">
      <text>
        <r>
          <rPr>
            <b/>
            <sz val="8"/>
            <color indexed="81"/>
            <rFont val="Tahoma"/>
            <family val="2"/>
          </rPr>
          <t>Average above grade wall height for the space of consideration. (For an irregular shape, divide the panel area by the panel length.)</t>
        </r>
      </text>
    </comment>
    <comment ref="I74" authorId="1" shapeId="0" xr:uid="{00000000-0006-0000-0200-000009000000}">
      <text>
        <r>
          <rPr>
            <b/>
            <sz val="8"/>
            <color indexed="81"/>
            <rFont val="Tahoma"/>
            <family val="2"/>
          </rPr>
          <t>Enter 1 if space below ceiling is heated.</t>
        </r>
      </text>
    </comment>
    <comment ref="J74" authorId="1" shapeId="0" xr:uid="{00000000-0006-0000-0200-00000A000000}">
      <text>
        <r>
          <rPr>
            <b/>
            <sz val="8"/>
            <color indexed="81"/>
            <rFont val="Tahoma"/>
            <family val="2"/>
          </rPr>
          <t>Enter 1 if space below ceiling has cooling.</t>
        </r>
      </text>
    </comment>
    <comment ref="C75" authorId="2" shapeId="0" xr:uid="{00000000-0006-0000-0200-00000B000000}">
      <text>
        <r>
          <rPr>
            <sz val="8"/>
            <color indexed="81"/>
            <rFont val="Tahoma"/>
            <family val="2"/>
          </rPr>
          <t>Enter a 1 for the cases that apply.</t>
        </r>
      </text>
    </comment>
    <comment ref="E80" authorId="1" shapeId="0" xr:uid="{00000000-0006-0000-0200-00000C000000}">
      <text>
        <r>
          <rPr>
            <sz val="8"/>
            <color indexed="81"/>
            <rFont val="Tahoma"/>
            <family val="2"/>
          </rPr>
          <t>If a conditioned space h</t>
        </r>
        <r>
          <rPr>
            <sz val="8"/>
            <color indexed="8"/>
            <rFont val="Tahoma"/>
            <family val="2"/>
          </rPr>
          <t>as no ceiling or floor load, a partial exposed ceiling load, a partial exposed floor load, a partial ceiling-partition load or a partial floor-partition load,</t>
        </r>
        <r>
          <rPr>
            <sz val="8"/>
            <color indexed="81"/>
            <rFont val="Tahoma"/>
            <family val="2"/>
          </rPr>
          <t xml:space="preserve"> enter 1 in column B and type a name for the space in column C. </t>
        </r>
        <r>
          <rPr>
            <sz val="8"/>
            <color indexed="10"/>
            <rFont val="Tahoma"/>
            <family val="2"/>
          </rPr>
          <t>If the space has an exposed ceiling load, an exposed floor load, a ceiling-partition or a floor-partition load that applies to the entire space, use Case A or Case B.</t>
        </r>
      </text>
    </comment>
    <comment ref="G80" authorId="1" shapeId="0" xr:uid="{00000000-0006-0000-0200-00000D000000}">
      <text>
        <r>
          <rPr>
            <b/>
            <sz val="8"/>
            <color indexed="81"/>
            <rFont val="Tahoma"/>
            <family val="2"/>
          </rPr>
          <t>Average above grade wall height for the space of consideration. (For an irregular shape, divide the panel area by the panel length.)</t>
        </r>
      </text>
    </comment>
    <comment ref="I80" authorId="2" shapeId="0" xr:uid="{00000000-0006-0000-0200-00000E000000}">
      <text>
        <r>
          <rPr>
            <b/>
            <sz val="8"/>
            <color indexed="81"/>
            <rFont val="Tahoma"/>
            <family val="2"/>
          </rPr>
          <t>Enter heated floor area of space.</t>
        </r>
      </text>
    </comment>
    <comment ref="J80" authorId="2" shapeId="0" xr:uid="{00000000-0006-0000-0200-00000F000000}">
      <text>
        <r>
          <rPr>
            <b/>
            <sz val="8"/>
            <color indexed="81"/>
            <rFont val="Tahoma"/>
            <family val="2"/>
          </rPr>
          <t>Enter cooled floor area of space.</t>
        </r>
      </text>
    </comment>
    <comment ref="C81" authorId="2" shapeId="0" xr:uid="{00000000-0006-0000-0200-000010000000}">
      <text>
        <r>
          <rPr>
            <sz val="8"/>
            <color indexed="81"/>
            <rFont val="Tahoma"/>
            <family val="2"/>
          </rPr>
          <t>Enter a 1 for the cases that apply.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K13" authorId="0" shapeId="0" xr:uid="{00000000-0006-0000-0B00-000001000000}">
      <text>
        <r>
          <rPr>
            <b/>
            <sz val="8"/>
            <color indexed="81"/>
            <rFont val="Tahoma"/>
            <family val="2"/>
          </rPr>
          <t>Doulble pane clear with medium blind at 45 degrees.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 rut</author>
  </authors>
  <commentList>
    <comment ref="G9" authorId="0" shapeId="0" xr:uid="{00000000-0006-0000-1500-000001000000}">
      <text>
        <r>
          <rPr>
            <b/>
            <sz val="8"/>
            <color indexed="81"/>
            <rFont val="Tahoma"/>
            <family val="2"/>
          </rPr>
          <t>ALF for sapce load in cell G19.</t>
        </r>
      </text>
    </comment>
    <comment ref="I9" authorId="0" shapeId="0" xr:uid="{00000000-0006-0000-1500-000002000000}">
      <text>
        <r>
          <rPr>
            <b/>
            <sz val="8"/>
            <color indexed="81"/>
            <rFont val="Tahoma"/>
            <family val="2"/>
          </rPr>
          <t>ALF for sapce load in cell H19.</t>
        </r>
      </text>
    </comment>
    <comment ref="J9" authorId="0" shapeId="0" xr:uid="{00000000-0006-0000-1500-000003000000}">
      <text>
        <r>
          <rPr>
            <b/>
            <sz val="8"/>
            <color indexed="81"/>
            <rFont val="Tahoma"/>
            <family val="2"/>
          </rPr>
          <t>ALF for peak space load on air handler.</t>
        </r>
      </text>
    </comment>
    <comment ref="U9" authorId="0" shapeId="0" xr:uid="{00000000-0006-0000-1500-000004000000}">
      <text>
        <r>
          <rPr>
            <b/>
            <sz val="8"/>
            <color indexed="81"/>
            <rFont val="Tahoma"/>
            <family val="2"/>
          </rPr>
          <t>ALF for sapce load in cell H19.</t>
        </r>
      </text>
    </comment>
    <comment ref="V9" authorId="0" shapeId="0" xr:uid="{00000000-0006-0000-1500-000005000000}">
      <text>
        <r>
          <rPr>
            <b/>
            <sz val="8"/>
            <color indexed="81"/>
            <rFont val="Tahoma"/>
            <family val="2"/>
          </rPr>
          <t>Air loading factor for peak sapce load on air handler.</t>
        </r>
      </text>
    </comment>
    <comment ref="AF9" authorId="0" shapeId="0" xr:uid="{00000000-0006-0000-1500-000006000000}">
      <text>
        <r>
          <rPr>
            <b/>
            <sz val="8"/>
            <color indexed="81"/>
            <rFont val="Tahoma"/>
            <family val="2"/>
          </rPr>
          <t>ALF for sapce load in cell H19.</t>
        </r>
      </text>
    </comment>
    <comment ref="AG9" authorId="0" shapeId="0" xr:uid="{00000000-0006-0000-1500-000007000000}">
      <text>
        <r>
          <rPr>
            <b/>
            <sz val="8"/>
            <color indexed="81"/>
            <rFont val="Tahoma"/>
            <family val="2"/>
          </rPr>
          <t>Air loading factor for peak sapce load on air handler.</t>
        </r>
      </text>
    </comment>
    <comment ref="AS9" authorId="0" shapeId="0" xr:uid="{00000000-0006-0000-1500-000008000000}">
      <text>
        <r>
          <rPr>
            <b/>
            <sz val="8"/>
            <color indexed="81"/>
            <rFont val="Tahoma"/>
            <family val="2"/>
          </rPr>
          <t>ALF for sapce load in cell H19.</t>
        </r>
      </text>
    </comment>
    <comment ref="AT9" authorId="0" shapeId="0" xr:uid="{00000000-0006-0000-1500-000009000000}">
      <text>
        <r>
          <rPr>
            <b/>
            <sz val="8"/>
            <color indexed="81"/>
            <rFont val="Tahoma"/>
            <family val="2"/>
          </rPr>
          <t>Air loading factor for peak sapce load on air handler.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 rut</author>
  </authors>
  <commentList>
    <comment ref="L21" authorId="0" shapeId="0" xr:uid="{00000000-0006-0000-1B00-000001000000}">
      <text>
        <r>
          <rPr>
            <b/>
            <sz val="8"/>
            <color indexed="81"/>
            <rFont val="Tahoma"/>
            <family val="2"/>
          </rPr>
          <t>ALF for load in cell J27</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 rut</author>
  </authors>
  <commentList>
    <comment ref="L22" authorId="0" shapeId="0" xr:uid="{00000000-0006-0000-2000-000001000000}">
      <text>
        <r>
          <rPr>
            <b/>
            <sz val="8"/>
            <color indexed="81"/>
            <rFont val="Tahoma"/>
            <family val="2"/>
          </rPr>
          <t>ALF for load in cell I25</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h rut</author>
  </authors>
  <commentList>
    <comment ref="L19" authorId="0" shapeId="0" xr:uid="{00000000-0006-0000-2100-000001000000}">
      <text>
        <r>
          <rPr>
            <b/>
            <sz val="8"/>
            <color indexed="81"/>
            <rFont val="Tahoma"/>
            <family val="2"/>
          </rPr>
          <t>ALF for load in cell I25</t>
        </r>
      </text>
    </comment>
  </commentList>
</comments>
</file>

<file path=xl/sharedStrings.xml><?xml version="1.0" encoding="utf-8"?>
<sst xmlns="http://schemas.openxmlformats.org/spreadsheetml/2006/main" count="9776" uniqueCount="4203">
  <si>
    <t>Tight, Medium-Tight, Average, Medium-Loose, Loose</t>
  </si>
  <si>
    <t>Protocol for Choosing Tightness Category</t>
  </si>
  <si>
    <t>Weighted average load for sensible cooling (Btuh)</t>
  </si>
  <si>
    <t>Weighted average load = (RAP-1 Load x Floor area under roof + RAP-2 Load x Floor area under c-space) / Total floor area</t>
  </si>
  <si>
    <r>
      <t>▲</t>
    </r>
    <r>
      <rPr>
        <sz val="7"/>
        <rFont val="Courier"/>
        <family val="3"/>
      </rPr>
      <t xml:space="preserve"> If 999999 or #VALUE, there is an error in floor area data; see cells L6 and L7.</t>
    </r>
  </si>
  <si>
    <t>Use lines 42 to 55 to evaluate CLTD values for ceilings</t>
  </si>
  <si>
    <t>Blank or 1</t>
  </si>
  <si>
    <t>Blank or Ft</t>
  </si>
  <si>
    <t>For Slab</t>
  </si>
  <si>
    <t>or Leave</t>
  </si>
  <si>
    <t>Blank</t>
  </si>
  <si>
    <t>To simplify the procedure for heating, the roof load is assigned to the return air load with no adjustment for the ceiling effect.</t>
  </si>
  <si>
    <t>Worksheet RAP-2</t>
  </si>
  <si>
    <t>Floor  HTM = - Floor U-Value x (PT - IAT)</t>
  </si>
  <si>
    <t>Lighting HTM = (RLL + Other Loads) / Ceiling Area</t>
  </si>
  <si>
    <t>SF Interp</t>
  </si>
  <si>
    <t>SF Extrap</t>
  </si>
  <si>
    <t>Texas, Fort Worth, Carswell AFB</t>
  </si>
  <si>
    <t>Texas, Fort Worth, Meacham Field</t>
  </si>
  <si>
    <t>Texas, Galveston AP</t>
  </si>
  <si>
    <t xml:space="preserve">Texas, Greenville </t>
  </si>
  <si>
    <t>Texas, Guadalupe Pass</t>
  </si>
  <si>
    <t xml:space="preserve">Texas, Harlingen </t>
  </si>
  <si>
    <t>Texas, Houston AP</t>
  </si>
  <si>
    <t>Texas, Houston, Hobby AP</t>
  </si>
  <si>
    <t xml:space="preserve">Texas, Huntsville </t>
  </si>
  <si>
    <t xml:space="preserve">Texas, Junction </t>
  </si>
  <si>
    <t>Texas, Killeen-Gray AFB</t>
  </si>
  <si>
    <t>Lat Load</t>
  </si>
  <si>
    <t>AH Supply</t>
  </si>
  <si>
    <t>Supply</t>
  </si>
  <si>
    <t>SF Actual</t>
  </si>
  <si>
    <t>°F or Gr</t>
  </si>
  <si>
    <t>Table value</t>
  </si>
  <si>
    <t>Actual °F or Gr</t>
  </si>
  <si>
    <t xml:space="preserve">Washington, Longview </t>
  </si>
  <si>
    <t>Washington, Moses Lake, Larson AFB</t>
  </si>
  <si>
    <t>Washington, Olympia AP</t>
  </si>
  <si>
    <t>Washington, Port Angeles</t>
  </si>
  <si>
    <t xml:space="preserve">Washington, Quillayute </t>
  </si>
  <si>
    <t>Washington, Seattle-Boeing Fld</t>
  </si>
  <si>
    <t>Washington, Seattle CO</t>
  </si>
  <si>
    <t>Washington, Seattle-Tacoma AP</t>
  </si>
  <si>
    <t>Washington, Spokane AP</t>
  </si>
  <si>
    <t>Washington, Stampede Pass</t>
  </si>
  <si>
    <t>Washington, Tacoma-McChord AFB</t>
  </si>
  <si>
    <t>Washington, Walla Walla AP</t>
  </si>
  <si>
    <t xml:space="preserve">Washington, Wenatchee </t>
  </si>
  <si>
    <t>Washington, Yakima AP</t>
  </si>
  <si>
    <t>Duct Table</t>
  </si>
  <si>
    <t>For RAP-2 heating the (PT - IAT) effect is ignored (RAP-2 PT value equals indoor design temperature from Worksheet A).</t>
  </si>
  <si>
    <t>Use Worksheet RAP-3 to calculate return air loads and duct loads for heating and cooling.</t>
  </si>
  <si>
    <t>SCL = Sensible Value x N x CLF     SCL = Latent Value x N</t>
  </si>
  <si>
    <t>Hot Pipe Item
Table 6G-1; 6G-2</t>
  </si>
  <si>
    <t>SRG = Length x Sensible Factor      SCL = -SRG (negative space load)     LCL = Length x Latent Factor</t>
  </si>
  <si>
    <t>Bug Screen</t>
  </si>
  <si>
    <t>or Proj. Asy.</t>
  </si>
  <si>
    <t>Sun Screen</t>
  </si>
  <si>
    <t>DF = Blank</t>
  </si>
  <si>
    <t>DF = 1.0</t>
  </si>
  <si>
    <t>Shd. Coef.</t>
  </si>
  <si>
    <t>Noon</t>
  </si>
  <si>
    <t xml:space="preserve">Description
of Assembly
(optional)
</t>
  </si>
  <si>
    <t>DF= 0.80</t>
  </si>
  <si>
    <t xml:space="preserve">ESGF = BSFG x WIFgain x LCFgain x Kr x Rr = </t>
  </si>
  <si>
    <t xml:space="preserve">  </t>
  </si>
  <si>
    <t xml:space="preserve">ELG (Btuh) = BLG x LCFlatent x Rr = </t>
  </si>
  <si>
    <t>Sea Level</t>
  </si>
  <si>
    <t>Specific heat of air approximately 0.24 Btu/Lb.</t>
  </si>
  <si>
    <t>5C</t>
  </si>
  <si>
    <t xml:space="preserve">Total hot pipe load for Form N1, Line 12e = </t>
  </si>
  <si>
    <t>19AP-0c</t>
  </si>
  <si>
    <t>Const. No. 20A</t>
  </si>
  <si>
    <t>Const. No. 20B</t>
  </si>
  <si>
    <t>22A-ph</t>
  </si>
  <si>
    <t>21A-20</t>
  </si>
  <si>
    <t>Perimeter</t>
  </si>
  <si>
    <t>Construction Number 22 (Concrete Slab on Grade) &amp; Description</t>
  </si>
  <si>
    <t>Construction Number 21 (Basement Floor) &amp; Description</t>
  </si>
  <si>
    <t>Arkansas, Fort Smith AP</t>
  </si>
  <si>
    <t>Arkansas, Hot Springs</t>
  </si>
  <si>
    <t>Arkansas, Jonesboro 262</t>
  </si>
  <si>
    <t>Arkansas, Little Rock AP</t>
  </si>
  <si>
    <t>Arkansas, Pine Bluff AP</t>
  </si>
  <si>
    <t>Arkansas, Texarkana AP</t>
  </si>
  <si>
    <t>California, Alameda, NAS</t>
  </si>
  <si>
    <t>California, Bakersfield AP</t>
  </si>
  <si>
    <t xml:space="preserve">California, Barstow </t>
  </si>
  <si>
    <t>California, Blue Canyon</t>
  </si>
  <si>
    <t>California, Blythe AP</t>
  </si>
  <si>
    <t>California, Burbank AP</t>
  </si>
  <si>
    <t xml:space="preserve">California, Chico </t>
  </si>
  <si>
    <t xml:space="preserve">California, Concord </t>
  </si>
  <si>
    <t xml:space="preserve">California, Covina </t>
  </si>
  <si>
    <t>California, Lemoore, Reeves NAS</t>
  </si>
  <si>
    <t>California, Livermore 500</t>
  </si>
  <si>
    <t>California, Lompoc, Vandenburg AFB</t>
  </si>
  <si>
    <t>California, Los Angeles AP</t>
  </si>
  <si>
    <t xml:space="preserve">Gallup </t>
  </si>
  <si>
    <t xml:space="preserve">Grants </t>
  </si>
  <si>
    <t>Hobbs AP</t>
  </si>
  <si>
    <t>Las Cruces</t>
  </si>
  <si>
    <t>Los Alamos</t>
  </si>
  <si>
    <t>Raton AP</t>
  </si>
  <si>
    <t>Roswell, Walker AFB</t>
  </si>
  <si>
    <t>Santa Fe CO</t>
  </si>
  <si>
    <t>Silver City AP</t>
  </si>
  <si>
    <t>Socorro AP</t>
  </si>
  <si>
    <t>Truth or Consequences</t>
  </si>
  <si>
    <t>Tucumcari AP</t>
  </si>
  <si>
    <t>Albany AP</t>
  </si>
  <si>
    <t>Albany CO</t>
  </si>
  <si>
    <t xml:space="preserve">Bafavia </t>
  </si>
  <si>
    <t>Binghampton AP</t>
  </si>
  <si>
    <t>Buffalo AP</t>
  </si>
  <si>
    <t>Central Islip</t>
  </si>
  <si>
    <t xml:space="preserve">Cortland </t>
  </si>
  <si>
    <t xml:space="preserve">Dunkirk </t>
  </si>
  <si>
    <t>Elmira AP</t>
  </si>
  <si>
    <t xml:space="preserve">Geneva </t>
  </si>
  <si>
    <t>Glens Falls</t>
  </si>
  <si>
    <t xml:space="preserve">Gloversville </t>
  </si>
  <si>
    <t xml:space="preserve">Hornell </t>
  </si>
  <si>
    <t xml:space="preserve">Ithaca </t>
  </si>
  <si>
    <t xml:space="preserve">Jamestown </t>
  </si>
  <si>
    <t xml:space="preserve">Kingston </t>
  </si>
  <si>
    <t xml:space="preserve">Lockport </t>
  </si>
  <si>
    <t>Massena AP</t>
  </si>
  <si>
    <t>Newburg-Stewart AFB</t>
  </si>
  <si>
    <t>NYC-Central Park</t>
  </si>
  <si>
    <t>NYC-Kennedy AP</t>
  </si>
  <si>
    <t>NYC-La Guardia AP</t>
  </si>
  <si>
    <t>Niagra Falls AP</t>
  </si>
  <si>
    <t xml:space="preserve">Olean </t>
  </si>
  <si>
    <t xml:space="preserve">Oneonta </t>
  </si>
  <si>
    <t>Oswego CO</t>
  </si>
  <si>
    <t>Plattsburg AFB</t>
  </si>
  <si>
    <t xml:space="preserve">Poughkeepsie </t>
  </si>
  <si>
    <t>Rome-Griffiss AFB</t>
  </si>
  <si>
    <t xml:space="preserve">Schenectady </t>
  </si>
  <si>
    <t>Suffolk County AFB</t>
  </si>
  <si>
    <t>Syracuse AP</t>
  </si>
  <si>
    <t xml:space="preserve">Utica </t>
  </si>
  <si>
    <t xml:space="preserve">Watertown </t>
  </si>
  <si>
    <t>White Plains</t>
  </si>
  <si>
    <t>Asheville AP</t>
  </si>
  <si>
    <t>Cape Hatteras</t>
  </si>
  <si>
    <t>Charlotte AP</t>
  </si>
  <si>
    <t>Cherry Point MCAS</t>
  </si>
  <si>
    <t xml:space="preserve">Durham </t>
  </si>
  <si>
    <t>Elizabeth City AP</t>
  </si>
  <si>
    <t>Fayetteville, Pope AFB</t>
  </si>
  <si>
    <t>Goldsboro, Seymour</t>
  </si>
  <si>
    <t>Goldsboro, Johnson AFB</t>
  </si>
  <si>
    <t>Greensboro AP</t>
  </si>
  <si>
    <t xml:space="preserve">Henderson </t>
  </si>
  <si>
    <t xml:space="preserve">Hickory </t>
  </si>
  <si>
    <t xml:space="preserve">Jacksonville </t>
  </si>
  <si>
    <t xml:space="preserve">Lumberton </t>
  </si>
  <si>
    <t>New Bern AP</t>
  </si>
  <si>
    <t>Raleigh/Durham AP</t>
  </si>
  <si>
    <t>Rocky Mount</t>
  </si>
  <si>
    <t>Total ICFM = Space CFM + FP  CFM
Space ICFM = ACH x AGV / 60
                                                                                              AGV = Above grade volume of heated or air conditioned space.</t>
  </si>
  <si>
    <t>ICFM</t>
  </si>
  <si>
    <t>TR</t>
  </si>
  <si>
    <t>Table 3E</t>
  </si>
  <si>
    <t xml:space="preserve">Lat = </t>
  </si>
  <si>
    <t xml:space="preserve">Month = </t>
  </si>
  <si>
    <t xml:space="preserve">Time = </t>
  </si>
  <si>
    <t>DR °F</t>
  </si>
  <si>
    <t>HTA</t>
  </si>
  <si>
    <t>Table 1D-2</t>
  </si>
  <si>
    <t>Mo / Hour</t>
  </si>
  <si>
    <t>Mo / Hr</t>
  </si>
  <si>
    <r>
      <t xml:space="preserve"> </t>
    </r>
    <r>
      <rPr>
        <sz val="8"/>
        <rFont val="Arial"/>
        <family val="2"/>
      </rPr>
      <t>Δ</t>
    </r>
    <r>
      <rPr>
        <sz val="8"/>
        <rFont val="Arial"/>
        <family val="2"/>
      </rPr>
      <t xml:space="preserve"> Grains</t>
    </r>
  </si>
  <si>
    <t xml:space="preserve"> Mo/Hour DB = Month DB - DR x HTA Mo/Hour ΔGarins = Month ΔGrains
</t>
  </si>
  <si>
    <t xml:space="preserve">Cooling DB (6)
and ΔGrains
for Month / Hour
</t>
  </si>
  <si>
    <t xml:space="preserve">Dry-Bulb
Difference °F
</t>
  </si>
  <si>
    <t xml:space="preserve">Grains (1)
Difference
</t>
  </si>
  <si>
    <t xml:space="preserve">Indoor </t>
  </si>
  <si>
    <t xml:space="preserve">Outdoor </t>
  </si>
  <si>
    <t>Space has Exhaust Hood or Equipment</t>
  </si>
  <si>
    <t>Supported</t>
  </si>
  <si>
    <t>Consider Makeup Air and Damper Leakage</t>
  </si>
  <si>
    <t>Compare outdoor air Cfm for occupants with make-up air Cfm requirement and damper leakage Cfm, then use largest value</t>
  </si>
  <si>
    <t>Adjustment for Heat Recovery Equipment</t>
  </si>
  <si>
    <t>Adjustment for sensible and latent recovery</t>
  </si>
  <si>
    <t>Evaluate Ventilation Dehumidifier</t>
  </si>
  <si>
    <t>Ancillary Loads and System Loads</t>
  </si>
  <si>
    <t>Winter Humidification Load</t>
  </si>
  <si>
    <t>Yes, minimal guidance</t>
  </si>
  <si>
    <t>Yes, comprehensive guidance</t>
  </si>
  <si>
    <t>Hot Water and Steam Distribution</t>
  </si>
  <si>
    <t>Chilled Water Distribution</t>
  </si>
  <si>
    <t>Blow-through or draw-through supply fan, return air fan</t>
  </si>
  <si>
    <t>Chilled Water Pump</t>
  </si>
  <si>
    <t>Latent Moisture Migration Load</t>
  </si>
  <si>
    <t>Forms and Worksheets</t>
  </si>
  <si>
    <t>Form N1 -- Load Summary</t>
  </si>
  <si>
    <t>Use one N1 Form per space (for room zone or block load)</t>
  </si>
  <si>
    <t>Worksheets</t>
  </si>
  <si>
    <t>None (minimal guidance on Form N1)</t>
  </si>
  <si>
    <t>Comprehensive procedures for every item on Form N1</t>
  </si>
  <si>
    <t>Acronyms</t>
  </si>
  <si>
    <t>Step 3: Apply surface area adjustment to the Step 2 value.</t>
  </si>
  <si>
    <t>Default Duct Wall Surface Area (SqFt)</t>
  </si>
  <si>
    <t>Surface Area Factors</t>
  </si>
  <si>
    <t>Ks</t>
  </si>
  <si>
    <t>Kr</t>
  </si>
  <si>
    <t>Floor Area Look-Up Value</t>
  </si>
  <si>
    <t>3,000 SqFt</t>
  </si>
  <si>
    <t>6,000 SqFt</t>
  </si>
  <si>
    <t>9,000 SqFt</t>
  </si>
  <si>
    <t>12,000 SqFt</t>
  </si>
  <si>
    <t>15,000 SqFt</t>
  </si>
  <si>
    <t>See Section 9-9 for instruction for determining the floor area look-up value.</t>
  </si>
  <si>
    <t>1.0</t>
  </si>
  <si>
    <t>7RP-1.0</t>
  </si>
  <si>
    <t>BLG = (1.398E-02 x Amb + 2.379E-01) x Floor Area - 1.535E+01 x Amb - 3.048E+02</t>
  </si>
  <si>
    <t>BHLF = (-6.389E-08 x Amb + 7.222E-06) x Floor Area - 1.492E-03 x Amb + 1.492E-01</t>
  </si>
  <si>
    <t>BSGF = (9.500E-08 x Amb - 3.950E-06) x Floor Area + 2.205E-03 x Amb - 1.216E-01</t>
  </si>
  <si>
    <t>1.5</t>
  </si>
  <si>
    <t>7RP-1.5</t>
  </si>
  <si>
    <t>Base Case Latent Gain (BLG)</t>
  </si>
  <si>
    <t>BLG = (ALF 1.0 Value + ALF 2.0 Value) / 2</t>
  </si>
  <si>
    <t>BHLF = (ALF 1.0 Value + ALF 2.0 Value) / 2</t>
  </si>
  <si>
    <t>BSGF = (ALF 1.0 Value + ALF 2.0 Value) / 2</t>
  </si>
  <si>
    <t>Step 1: Select the base case latent gain factor.</t>
  </si>
  <si>
    <t>2.0</t>
  </si>
  <si>
    <t>Supply location = Perimter of floor plan</t>
  </si>
  <si>
    <t>7RP-2.0</t>
  </si>
  <si>
    <t>BLG = (1.913E-02 x Amb + 3.342E-01) x Floor Area - 1.122E+01 x Amb - 4.115E+02</t>
  </si>
  <si>
    <t>BHLF = (-4.583-08 x Amb + 5.375E-06) x Floor Area - 1.079E-03 x Amb + 1.090E-01</t>
  </si>
  <si>
    <t>BSGF = (6.917E-08 x Amb - 2.900E-06) x Floor Area + 1.603E-03 x Amb - 8.590E-02</t>
  </si>
  <si>
    <t>Trunk and Branch Supply and Return System Installed in a Unconditioned Space or Outdoors</t>
  </si>
  <si>
    <t>Supply location = Center of Rooms</t>
  </si>
  <si>
    <t>7TC-0.5</t>
  </si>
  <si>
    <t>BLG = (1.580E-02 x Amb + 1.126E-01) x Floor Area - 1.190E+01 x Amb - 1.180E+02</t>
  </si>
  <si>
    <t>BHLF = (-3.472E-08 x Amb + 3.431E-06) x Floor Area - 2.696E-03 x Amb + 2.017E-01</t>
  </si>
  <si>
    <t>New York, Rome-Griffiss AFB</t>
  </si>
  <si>
    <t xml:space="preserve">New York, Schenectady </t>
  </si>
  <si>
    <t>New York, Suffolk County AFB</t>
  </si>
  <si>
    <t>New York, Syracuse AP</t>
  </si>
  <si>
    <t xml:space="preserve">New York, Utica </t>
  </si>
  <si>
    <t xml:space="preserve">New York, Watertown </t>
  </si>
  <si>
    <t>7O</t>
  </si>
  <si>
    <t>New York, White Plains</t>
  </si>
  <si>
    <t>North Carolina, Asheville AP</t>
  </si>
  <si>
    <t>North Carolina, Cape Hatteras</t>
  </si>
  <si>
    <t>North Carolina, Charlotte AP</t>
  </si>
  <si>
    <t>North Carolina, Cherry Point MCAS</t>
  </si>
  <si>
    <t xml:space="preserve">North Carolina, Durham </t>
  </si>
  <si>
    <t>North Carolina, Elizabeth City AP</t>
  </si>
  <si>
    <t>North Carolina, Fayetteville, Pope AFB</t>
  </si>
  <si>
    <t>E</t>
  </si>
  <si>
    <t>Corpus Christi AP</t>
  </si>
  <si>
    <t xml:space="preserve">Corsicana </t>
  </si>
  <si>
    <t>Dallas, Fort Worth AP</t>
  </si>
  <si>
    <t>Del Rio, Laughlin AFB</t>
  </si>
  <si>
    <t xml:space="preserve">Denton </t>
  </si>
  <si>
    <t>Eagle Pass</t>
  </si>
  <si>
    <t>El Paso AP</t>
  </si>
  <si>
    <t>Montana, Livingston AP</t>
  </si>
  <si>
    <t>Montana, Miles City AP</t>
  </si>
  <si>
    <t>Montana, Missoula AP</t>
  </si>
  <si>
    <t xml:space="preserve">Nebraska, Beatrice </t>
  </si>
  <si>
    <t>Nebraska, Bellevue, Offutt AFB</t>
  </si>
  <si>
    <t>Nebraska, Chadron AP</t>
  </si>
  <si>
    <t xml:space="preserve">Nebraska, Columbus </t>
  </si>
  <si>
    <t xml:space="preserve">Nebraska, Fremont </t>
  </si>
  <si>
    <t>Nebraska, Grand Island AP</t>
  </si>
  <si>
    <t xml:space="preserve">Nebraska, Hastings </t>
  </si>
  <si>
    <t xml:space="preserve">Nebraska, Kearney </t>
  </si>
  <si>
    <t>Nebraska, Lincoln CO</t>
  </si>
  <si>
    <t xml:space="preserve">Nebraska, McCook </t>
  </si>
  <si>
    <t xml:space="preserve">Nebraska, Norfolk </t>
  </si>
  <si>
    <t>Nebraska, North Platte AP</t>
  </si>
  <si>
    <t>Nebraska, Omaha AP</t>
  </si>
  <si>
    <t>Nebraska, Omaha WSO</t>
  </si>
  <si>
    <t>Nebraska, Scottsbluff AP</t>
  </si>
  <si>
    <t>Nebraska, Sidney AP</t>
  </si>
  <si>
    <t xml:space="preserve">Nebraska, Valentine </t>
  </si>
  <si>
    <t>Nevada, Carson City</t>
  </si>
  <si>
    <t>Nevada, Elko AP</t>
  </si>
  <si>
    <t>Nevada, Ely AP</t>
  </si>
  <si>
    <t>Nevada, Las Vegas AP</t>
  </si>
  <si>
    <t>Nevada, Lovelock AP</t>
  </si>
  <si>
    <t xml:space="preserve">Nevada, Mercury </t>
  </si>
  <si>
    <t>Nevada, North Las Vega , Nellis AFB</t>
  </si>
  <si>
    <t>Nevada, Reno AP</t>
  </si>
  <si>
    <t>Nevada, Reno CO</t>
  </si>
  <si>
    <t>Nevada, Tonapah AP</t>
  </si>
  <si>
    <t>Nevada, Winnemucca AP</t>
  </si>
  <si>
    <t xml:space="preserve">New Hampshire, Berlin </t>
  </si>
  <si>
    <t xml:space="preserve">New Hampshire, Claremont </t>
  </si>
  <si>
    <t>New Hampshire, Concord AP</t>
  </si>
  <si>
    <t xml:space="preserve">New Hampshire, Keene </t>
  </si>
  <si>
    <t xml:space="preserve">New Hampshire, Laconia </t>
  </si>
  <si>
    <t xml:space="preserve">New Hampshire, Lebanon </t>
  </si>
  <si>
    <t>New Hampshire, Manchester, Grenier AFB</t>
  </si>
  <si>
    <t>New Hampshire, Mount Washington</t>
  </si>
  <si>
    <t>New Hampshire, Portsmouth, Pease AFB</t>
  </si>
  <si>
    <t>New Jersey, Atlantic City CO</t>
  </si>
  <si>
    <t>New Jersey, Long Branch</t>
  </si>
  <si>
    <t xml:space="preserve">New Jersey, Millville </t>
  </si>
  <si>
    <t>New Jersey, Newark AP</t>
  </si>
  <si>
    <t>Version N5ae 1.02 09JUL08</t>
  </si>
  <si>
    <t>Fixed ommission of glass HTM on Form N1</t>
  </si>
  <si>
    <t>Outdoors Below  Floor</t>
  </si>
  <si>
    <t>Open crawlspace or carport or garage</t>
  </si>
  <si>
    <t>Closed Crawlspace</t>
  </si>
  <si>
    <t>3) This depends on leakage from outdoors and leakage from the conditioned space. Use zero for a tight cavity and a leaky ceiling. Use design Grains for</t>
  </si>
  <si>
    <t xml:space="preserve">     air cavity if lighting gain is significant.</t>
  </si>
  <si>
    <t>Ambient Dry Bulb °F</t>
  </si>
  <si>
    <t>Δ Grains</t>
  </si>
  <si>
    <t>Vented or  Unsealed Attic</t>
  </si>
  <si>
    <t>Unsealed attic or knee wall space that has no vents(construction 16A)</t>
  </si>
  <si>
    <t>Entire Return Air Plenum Under a Roof</t>
  </si>
  <si>
    <t>Entire Return Air Plenum Under a Conditioned Space</t>
  </si>
  <si>
    <t>Qty</t>
  </si>
  <si>
    <t>DF</t>
  </si>
  <si>
    <t>Occupant Activity</t>
  </si>
  <si>
    <t>Athletics, civilian intensity</t>
  </si>
  <si>
    <t>Athletics, moderate intensity</t>
  </si>
  <si>
    <t>Athletics, extreme intensity</t>
  </si>
  <si>
    <t>Audience, seated at rest</t>
  </si>
  <si>
    <t>Audience, movement</t>
  </si>
  <si>
    <t>Bowling</t>
  </si>
  <si>
    <t>Workstation, extreme movement</t>
  </si>
  <si>
    <t>Workstation, moderate movement</t>
  </si>
  <si>
    <t>Dancing, moderate</t>
  </si>
  <si>
    <t>Dancing, vigorously</t>
  </si>
  <si>
    <t>Workstation, seated no movement</t>
  </si>
  <si>
    <t>Factory work, movement, no lifting</t>
  </si>
  <si>
    <t>Factory work, movement, lifting</t>
  </si>
  <si>
    <t>Seated, desk, body movement</t>
  </si>
  <si>
    <t>Walking slowly</t>
  </si>
  <si>
    <t>Walking briskley</t>
  </si>
  <si>
    <t>Dayton AP</t>
  </si>
  <si>
    <t>Dayton, Wright/Paterson AFB</t>
  </si>
  <si>
    <t xml:space="preserve">Defiance </t>
  </si>
  <si>
    <t>Finlay AP</t>
  </si>
  <si>
    <t xml:space="preserve">Fremont </t>
  </si>
  <si>
    <t xml:space="preserve">Hamilton </t>
  </si>
  <si>
    <t xml:space="preserve">Lancaster </t>
  </si>
  <si>
    <t xml:space="preserve">Lima </t>
  </si>
  <si>
    <t>Mansfield AP</t>
  </si>
  <si>
    <t xml:space="preserve">Marion </t>
  </si>
  <si>
    <t xml:space="preserve">SLL total goes to Form N1, Line 12a.   RLL total goes to Worksheets D1, D2, RAP-1 and RAP-2 </t>
  </si>
  <si>
    <t>DAC HB</t>
  </si>
  <si>
    <t>Calc</t>
  </si>
  <si>
    <t>LFG for</t>
  </si>
  <si>
    <t>DAC Ceiling</t>
  </si>
  <si>
    <t>LFG</t>
  </si>
  <si>
    <t>DAF</t>
  </si>
  <si>
    <t>Table 1C</t>
  </si>
  <si>
    <t>Wet-Bulb</t>
  </si>
  <si>
    <t>Part 1) Enter base-case load factors and latent heat value from Table 7</t>
  </si>
  <si>
    <t>Side bar interpolation engine</t>
  </si>
  <si>
    <t>Worksheet H</t>
  </si>
  <si>
    <t>Type Load</t>
  </si>
  <si>
    <t>Ventilation Loads</t>
  </si>
  <si>
    <t xml:space="preserve">  &lt;  From line 1 above (Cfm = ACH x Volume of Space in Cubic Feet / 60)</t>
  </si>
  <si>
    <t xml:space="preserve">3) Table 8 Cfm value </t>
  </si>
  <si>
    <t xml:space="preserve">  &lt;  This is a default for load estimates (not a standard or good practice recommendation).</t>
  </si>
  <si>
    <t>Ventilation Loads (evaluated for the month and hour of interest, per outdoor conditions on Worksheet A)</t>
  </si>
  <si>
    <t>Code Value for Outdoor Cfm</t>
  </si>
  <si>
    <t>Design Cfm Value for Engineered Ventilation</t>
  </si>
  <si>
    <t>or —&gt;</t>
  </si>
  <si>
    <t>2)  Code Cfm value</t>
  </si>
  <si>
    <t>VCFM</t>
  </si>
  <si>
    <t>CFMdish</t>
  </si>
  <si>
    <t>SER</t>
  </si>
  <si>
    <t>LER</t>
  </si>
  <si>
    <t>Ventilator</t>
  </si>
  <si>
    <t>Recovery</t>
  </si>
  <si>
    <t>for Heat</t>
  </si>
  <si>
    <t>Condition of</t>
  </si>
  <si>
    <t>Air Leaving</t>
  </si>
  <si>
    <t>Ventilation</t>
  </si>
  <si>
    <t>(Note 3)</t>
  </si>
  <si>
    <t>for Site</t>
  </si>
  <si>
    <t>Table 12</t>
  </si>
  <si>
    <t>Condition</t>
  </si>
  <si>
    <t>To heat</t>
  </si>
  <si>
    <t>To cool</t>
  </si>
  <si>
    <t>(Wks A)</t>
  </si>
  <si>
    <t>ΔGrains</t>
  </si>
  <si>
    <t>Wks A</t>
  </si>
  <si>
    <t>T1heat</t>
  </si>
  <si>
    <t>T1cool</t>
  </si>
  <si>
    <t>DGgrains</t>
  </si>
  <si>
    <t>entering</t>
  </si>
  <si>
    <t>air</t>
  </si>
  <si>
    <t>(Note 4)</t>
  </si>
  <si>
    <t>T2heat</t>
  </si>
  <si>
    <t>T2cool</t>
  </si>
  <si>
    <t>Site</t>
  </si>
  <si>
    <t>Vent.</t>
  </si>
  <si>
    <t>(Note 5)</t>
  </si>
  <si>
    <t>LATvdh</t>
  </si>
  <si>
    <t>8cuf-c</t>
  </si>
  <si>
    <t>Wood and Metal Doors (Construction 11)</t>
  </si>
  <si>
    <t>RLL = Lighting load to return air from Wks E</t>
  </si>
  <si>
    <t>Default SAT = 55 ºF; so default (IAT - SAT) = 20 º</t>
  </si>
  <si>
    <t>Default SAT = 55 ºF; so default (IAT - SAT) = 20 ºF</t>
  </si>
  <si>
    <t>4) Space exhaust Cfm</t>
  </si>
  <si>
    <t>5) Damper leakage Cfm</t>
  </si>
  <si>
    <t>6)  Practitioner-specified VCFM</t>
  </si>
  <si>
    <t>Default AH Supply Cfm = (Sum of sensible cooling loads on Form N1, Lines 6 through 12) / (20 x ACF)</t>
  </si>
  <si>
    <t xml:space="preserve"> &lt; Aprox PT</t>
  </si>
  <si>
    <t xml:space="preserve"> &lt; Sensible load to return air</t>
  </si>
  <si>
    <t>Form N1 has three lines for ceilings.</t>
  </si>
  <si>
    <t>Mo-Lat</t>
  </si>
  <si>
    <t>Base CLTD provided by Table 14B, Construction 17A; Mo-Lat, color and daily range adjustments from same page.</t>
  </si>
  <si>
    <t>RA</t>
  </si>
  <si>
    <t>Adjusted CLTD = (Base CLTD + Lat/Mo Correction) x Color Factor + (OAT - 95) + (75 - PT) + DR Adjustment</t>
  </si>
  <si>
    <t>Roof  HTM = Roof U-value x Adjusted CLTD</t>
  </si>
  <si>
    <t>Lighting HTM for Cooling</t>
  </si>
  <si>
    <t>Ceiling HTM for Cooling</t>
  </si>
  <si>
    <t>Perm</t>
  </si>
  <si>
    <t>Table 13</t>
  </si>
  <si>
    <t>Openings</t>
  </si>
  <si>
    <t>Irregular</t>
  </si>
  <si>
    <t>Shape</t>
  </si>
  <si>
    <t>Width / Hgt</t>
  </si>
  <si>
    <t>Description of Construction</t>
  </si>
  <si>
    <t>Exposed Above Grade Wall</t>
  </si>
  <si>
    <t>For steam: SCL = 0.45 x Lb/Hr x Steam to Space TD and LCL = 1,050 x Lbs / Hr       For wet surface: LCL = Latent Factor x Surface Area</t>
  </si>
  <si>
    <t>Total steam and wet surface load for Form N1, Line 12e =</t>
  </si>
  <si>
    <t>Steam 1</t>
  </si>
  <si>
    <t>Steam 2</t>
  </si>
  <si>
    <t>Const. 17 A and B Ceilings (see Tbl 4B CLTD Adjust. for Const. 17 )</t>
  </si>
  <si>
    <t>Construction</t>
  </si>
  <si>
    <t>Skylight Information</t>
  </si>
  <si>
    <t>Insect Screen</t>
  </si>
  <si>
    <t>Bay Window</t>
  </si>
  <si>
    <t>Garden Window</t>
  </si>
  <si>
    <t>IAT (mo)</t>
  </si>
  <si>
    <t xml:space="preserve">Total motor load for Form N1, Line 12e = </t>
  </si>
  <si>
    <t>Efficiency</t>
  </si>
  <si>
    <t>(RHP)</t>
  </si>
  <si>
    <t>(FLME)</t>
  </si>
  <si>
    <t>Config</t>
  </si>
  <si>
    <t>Min-Ein = 1</t>
  </si>
  <si>
    <t>Mout-Ein = 2</t>
  </si>
  <si>
    <t>Min-Eout = 3</t>
  </si>
  <si>
    <t>LF</t>
  </si>
  <si>
    <t>UF</t>
  </si>
  <si>
    <t xml:space="preserve">Sum = </t>
  </si>
  <si>
    <t xml:space="preserve">DCF = </t>
  </si>
  <si>
    <t>Export to Form N1: Heating HTM; and AHTOH from Part 2B; and rough opening area (H x W).</t>
  </si>
  <si>
    <t>&amp; Room No.</t>
  </si>
  <si>
    <t>Single Story</t>
  </si>
  <si>
    <t>1 or 2 Exposures</t>
  </si>
  <si>
    <t>3 or 4 Exposures</t>
  </si>
  <si>
    <t>Sq. Ft.</t>
  </si>
  <si>
    <t>Column</t>
  </si>
  <si>
    <t>California, Santa Monica CO</t>
  </si>
  <si>
    <t>California, Santa Paula</t>
  </si>
  <si>
    <t>BT = Blow Through</t>
  </si>
  <si>
    <t>RA = Return Air</t>
  </si>
  <si>
    <t>The floor HTM for cooling appears on Worksheet D, Construction 17D.</t>
  </si>
  <si>
    <t>The floor HTM, load area and cooling load appear on Form N1, Line 11.</t>
  </si>
  <si>
    <t>Evaluate lighting loads on Worksheet E before using this worksheet!</t>
  </si>
  <si>
    <t xml:space="preserve"> &lt; Avg RA load Wrk G1</t>
  </si>
  <si>
    <t>FA1 / FA2</t>
  </si>
  <si>
    <t>Large/Small</t>
  </si>
  <si>
    <t>Large+Small</t>
  </si>
  <si>
    <t>0.75 x (L + S)</t>
  </si>
  <si>
    <t>Case 1</t>
  </si>
  <si>
    <t>Case 2 or 3</t>
  </si>
  <si>
    <t>Sidebar calc  for look-up floor area.</t>
  </si>
  <si>
    <t>Type of space load (room #, zone # or block) &gt;</t>
  </si>
  <si>
    <t>Room #; Zone # or Block</t>
  </si>
  <si>
    <t>Type of space load</t>
  </si>
  <si>
    <t>Type of space load:</t>
  </si>
  <si>
    <t>5) Default wind speed is 15.0 MPH for heating and 7.5 MPH for cooling, or use engineered values.</t>
  </si>
  <si>
    <t>6) Not supported by N5AP, use default design conditions for midsummer load estimates (use the full Manual N procedure for other months).</t>
  </si>
  <si>
    <t>3) Appendix 11 provides equations for altitude sensitive psychometrics.</t>
  </si>
  <si>
    <t xml:space="preserve">Daily (4) </t>
  </si>
  <si>
    <t>a</t>
  </si>
  <si>
    <t>b</t>
  </si>
  <si>
    <t>c</t>
  </si>
  <si>
    <t>d</t>
  </si>
  <si>
    <t>e</t>
  </si>
  <si>
    <t>f</t>
  </si>
  <si>
    <t>g</t>
  </si>
  <si>
    <t>h</t>
  </si>
  <si>
    <t>Number</t>
  </si>
  <si>
    <t>Const.</t>
  </si>
  <si>
    <t>Equations for Part 1 and Part 2A</t>
  </si>
  <si>
    <t>ARcurb</t>
  </si>
  <si>
    <t>ARshaft</t>
  </si>
  <si>
    <t>Height (Ft)</t>
  </si>
  <si>
    <t>DF = 5.0 Ft</t>
  </si>
  <si>
    <t>Perim’</t>
  </si>
  <si>
    <t>P (Ft)</t>
  </si>
  <si>
    <t>A-Panel</t>
  </si>
  <si>
    <t>A-Curb</t>
  </si>
  <si>
    <t>A-Shaft</t>
  </si>
  <si>
    <t>Asm'bly</t>
  </si>
  <si>
    <t xml:space="preserve">North Carolina, Henderson </t>
  </si>
  <si>
    <t xml:space="preserve">North Carolina, Hickory </t>
  </si>
  <si>
    <t xml:space="preserve">North Carolina, Jacksonville </t>
  </si>
  <si>
    <t xml:space="preserve">North Carolina, Lumberton </t>
  </si>
  <si>
    <t>North Carolina, New Bern AP</t>
  </si>
  <si>
    <t>North Carolina, Raleigh/Durham AP</t>
  </si>
  <si>
    <t>North Carolina, Rocky Mount</t>
  </si>
  <si>
    <t>North Carolina, Wilmington AP</t>
  </si>
  <si>
    <t>North Carolina, Winston-Salem AP</t>
  </si>
  <si>
    <t>North Dakota, Bismark AP</t>
  </si>
  <si>
    <t>North Dakota, Devil’s Lake</t>
  </si>
  <si>
    <t>North Dakota, Dickinson AP</t>
  </si>
  <si>
    <t>North Dakota, Fargo AP</t>
  </si>
  <si>
    <t>North Dakota, Grands Forks AP</t>
  </si>
  <si>
    <t>North Dakota, Jamestown AP</t>
  </si>
  <si>
    <t>North Dakota, Minot AP</t>
  </si>
  <si>
    <t>North Dakota, Minot, AFB</t>
  </si>
  <si>
    <t xml:space="preserve">North Dakota, Williston </t>
  </si>
  <si>
    <t>Ohio, Akron-Canton AP</t>
  </si>
  <si>
    <t xml:space="preserve">Ohio, Ashtabula </t>
  </si>
  <si>
    <t xml:space="preserve">Ohio, Athens </t>
  </si>
  <si>
    <t>Ohio, Bowling Green</t>
  </si>
  <si>
    <t xml:space="preserve">Ohio, Cambridge </t>
  </si>
  <si>
    <t xml:space="preserve">Ohio, Chilicothe </t>
  </si>
  <si>
    <t>Ohio, Cincinnati, Lunken Field</t>
  </si>
  <si>
    <t>Ohio, Cleveland AP</t>
  </si>
  <si>
    <t>Ohio, Columbus AP</t>
  </si>
  <si>
    <t>Ohio, Columbus, Rickenbckr AFB</t>
  </si>
  <si>
    <t>Ohio, Dayton AP</t>
  </si>
  <si>
    <t>Ohio, Dayton, Wright/Paterson AFB</t>
  </si>
  <si>
    <t>Version N5ae 1.03 24AUG08</t>
  </si>
  <si>
    <t xml:space="preserve">Fixed tilt angle entry of zero for horizontal skylights </t>
  </si>
  <si>
    <t>Indiana, Peru, Grsssom AFB</t>
  </si>
  <si>
    <t>Indiana, Richmond AP</t>
  </si>
  <si>
    <t xml:space="preserve">Indiana, Shelbyville </t>
  </si>
  <si>
    <t>Indiana, South Bend AP</t>
  </si>
  <si>
    <t>Indiana, Terre Haute AP</t>
  </si>
  <si>
    <t xml:space="preserve">Indiana, Valparaiso </t>
  </si>
  <si>
    <t xml:space="preserve">Indiana, Vincennes </t>
  </si>
  <si>
    <t xml:space="preserve">Iowa, Ames </t>
  </si>
  <si>
    <t>Iowa, Burlington AP</t>
  </si>
  <si>
    <t>Iowa, Cedar Rapids AP</t>
  </si>
  <si>
    <t xml:space="preserve">Iowa, Clinton </t>
  </si>
  <si>
    <t>Iowa, Council Bluffs</t>
  </si>
  <si>
    <t>Iowa, Des Moines AP</t>
  </si>
  <si>
    <t xml:space="preserve">Iowa, Debuque </t>
  </si>
  <si>
    <t>Iowa, Fort Dodge</t>
  </si>
  <si>
    <t>Iowa, Iowa City</t>
  </si>
  <si>
    <t xml:space="preserve">Iowa, Keokuk </t>
  </si>
  <si>
    <t xml:space="preserve">Iowa, Lamoni </t>
  </si>
  <si>
    <t xml:space="preserve">Iowa, Marshalltown </t>
  </si>
  <si>
    <t>Iowa, Mason City AP</t>
  </si>
  <si>
    <t xml:space="preserve">Iowa, Newton </t>
  </si>
  <si>
    <t>Iowa, Ottumwa AP</t>
  </si>
  <si>
    <t>Iowa, Sioux City AP</t>
  </si>
  <si>
    <t xml:space="preserve">Iowa, Spencer </t>
  </si>
  <si>
    <t xml:space="preserve">Iowa, Waterloo </t>
  </si>
  <si>
    <t xml:space="preserve">Kansas, Atchison </t>
  </si>
  <si>
    <t>Kansas, Chante AP</t>
  </si>
  <si>
    <t xml:space="preserve">Kansas, Concordia </t>
  </si>
  <si>
    <t>Kansas, Dodge City AP</t>
  </si>
  <si>
    <t>Kansas, El Dorado</t>
  </si>
  <si>
    <t xml:space="preserve">Kansas, Emporia </t>
  </si>
  <si>
    <t>Kansas, Garden City AP</t>
  </si>
  <si>
    <t>Kansas, Goodland AP</t>
  </si>
  <si>
    <t>Kansas, Great Bend</t>
  </si>
  <si>
    <t>Kansas, Hutchinson AP</t>
  </si>
  <si>
    <t xml:space="preserve">Kansas, Liberal </t>
  </si>
  <si>
    <t>Kansas, Manhattan, Fort Riley</t>
  </si>
  <si>
    <t xml:space="preserve">Kansas, Parsons </t>
  </si>
  <si>
    <t>Kansas, Russel AP</t>
  </si>
  <si>
    <t xml:space="preserve">Kansas, Salina </t>
  </si>
  <si>
    <t>Kansas, Topeka AP</t>
  </si>
  <si>
    <t>Kansas, Wichita AP</t>
  </si>
  <si>
    <t>Kansas, Wichita, McConnell AFB</t>
  </si>
  <si>
    <t xml:space="preserve">Kentucky, Ashland </t>
  </si>
  <si>
    <t>Kentucky, Bowling Green AP</t>
  </si>
  <si>
    <t>Kentucky, Corbin AP</t>
  </si>
  <si>
    <t>Kentucky, Covington AP</t>
  </si>
  <si>
    <t>Kentucky, Fort Knox, Godman AAF</t>
  </si>
  <si>
    <t>Kentucky, Hopkinsville, Campbell AFB</t>
  </si>
  <si>
    <t xml:space="preserve">Kentucky, Jackson </t>
  </si>
  <si>
    <t>Kentucky, Lexington AP</t>
  </si>
  <si>
    <t>Kentucky, Louisville AP</t>
  </si>
  <si>
    <t xml:space="preserve">Kentucky, Madisonville </t>
  </si>
  <si>
    <t xml:space="preserve">Kentucky, Owensboro </t>
  </si>
  <si>
    <t>Kentucky, Paducah AP</t>
  </si>
  <si>
    <t>Louisiana, Alexandria AP</t>
  </si>
  <si>
    <t>Louisiana, Baton Rouge AP</t>
  </si>
  <si>
    <t xml:space="preserve">Louisiana, Bogalusa </t>
  </si>
  <si>
    <t>Louisiana, Bossier City, Barksdale AFB</t>
  </si>
  <si>
    <t xml:space="preserve">Louisiana, Houma </t>
  </si>
  <si>
    <t>Louisiana, Lafayette AP</t>
  </si>
  <si>
    <t>Louisiana, Lake Charles AP</t>
  </si>
  <si>
    <t>Louisiana, Leesville, Fort Polk</t>
  </si>
  <si>
    <t xml:space="preserve">Louisiana, Minden </t>
  </si>
  <si>
    <t>Louisiana, Monroe AP</t>
  </si>
  <si>
    <t xml:space="preserve">Louisiana, Natchitoches </t>
  </si>
  <si>
    <t>Louisiana, New Orleans AP</t>
  </si>
  <si>
    <t>Louisiana, New Orleans, Lakefront AP</t>
  </si>
  <si>
    <t>Louisiana, Shreveport AP</t>
  </si>
  <si>
    <t>Maine, Augusta AP</t>
  </si>
  <si>
    <t xml:space="preserve"> HTD</t>
  </si>
  <si>
    <t xml:space="preserve"> Indoor </t>
  </si>
  <si>
    <t xml:space="preserve"> Outdoor</t>
  </si>
  <si>
    <t xml:space="preserve"> ΔGrains</t>
  </si>
  <si>
    <t>Daily</t>
  </si>
  <si>
    <t>Range °F</t>
  </si>
  <si>
    <t>Outdoor</t>
  </si>
  <si>
    <t>Indoor</t>
  </si>
  <si>
    <t>CTD</t>
  </si>
  <si>
    <t xml:space="preserve">Design Values
for Temperature
Difference and
Grains 
Difference
</t>
  </si>
  <si>
    <t>1) Grains Difference calculations for heating are used to calculate the winter humidification load (ignore if there is no winter humidification).</t>
  </si>
  <si>
    <t>2) Output from altitude sensitive, state point psychometric software may be substituted for Table 12 Grains values.</t>
  </si>
  <si>
    <t>4) Use daily range (DR) from Table 1C (preferred), or use default value for Table 1 daily range ( Low = 10° F; Medium = 20 °F and High = 30 °F).</t>
  </si>
  <si>
    <t>Ceiling load for cooling (Btuh) = Ceiling HTM for cooling x Ceiling area</t>
  </si>
  <si>
    <t>Light Shaft Height (FT)</t>
  </si>
  <si>
    <r>
      <t>Tilt
Angle</t>
    </r>
    <r>
      <rPr>
        <sz val="10"/>
        <rFont val="Arial"/>
        <family val="2"/>
      </rPr>
      <t xml:space="preserve"> °</t>
    </r>
  </si>
  <si>
    <t>San Antonio, Randolph AFB</t>
  </si>
  <si>
    <t xml:space="preserve">Sanderson </t>
  </si>
  <si>
    <t>Sherman-Perrin AFB</t>
  </si>
  <si>
    <t xml:space="preserve">Snyder </t>
  </si>
  <si>
    <t xml:space="preserve">Temple </t>
  </si>
  <si>
    <t>Tyler AP</t>
  </si>
  <si>
    <t xml:space="preserve">Vernon </t>
  </si>
  <si>
    <t>Victoria AP</t>
  </si>
  <si>
    <t>Waco AP</t>
  </si>
  <si>
    <t>Wichita Falls AP</t>
  </si>
  <si>
    <t>Cedar City AP</t>
  </si>
  <si>
    <t xml:space="preserve">Logan </t>
  </si>
  <si>
    <t xml:space="preserve">Moab </t>
  </si>
  <si>
    <t>Ogden, Hill AFB</t>
  </si>
  <si>
    <t xml:space="preserve">Price </t>
  </si>
  <si>
    <t xml:space="preserve">Provo </t>
  </si>
  <si>
    <t xml:space="preserve">Richfield </t>
  </si>
  <si>
    <t>St. George CO</t>
  </si>
  <si>
    <t>Salt Lake City AP</t>
  </si>
  <si>
    <t>Vernal AP</t>
  </si>
  <si>
    <t xml:space="preserve">Barre </t>
  </si>
  <si>
    <t>Montpelier/ Barre</t>
  </si>
  <si>
    <t xml:space="preserve">Rutland </t>
  </si>
  <si>
    <t xml:space="preserve">Charlottsville </t>
  </si>
  <si>
    <t>Danville AP</t>
  </si>
  <si>
    <t>Fort Belvoir</t>
  </si>
  <si>
    <t xml:space="preserve">Fredricksburg </t>
  </si>
  <si>
    <t>Hampton, Langley AFB</t>
  </si>
  <si>
    <t xml:space="preserve">Harrisonburg </t>
  </si>
  <si>
    <t>Lynchburg AP</t>
  </si>
  <si>
    <t>Newport News</t>
  </si>
  <si>
    <t>Norfolk AP</t>
  </si>
  <si>
    <t>Oceana, NAS</t>
  </si>
  <si>
    <t xml:space="preserve">Petersburg </t>
  </si>
  <si>
    <t>Quantico MCAS</t>
  </si>
  <si>
    <t>Roanoke AP</t>
  </si>
  <si>
    <t xml:space="preserve">Staunton </t>
  </si>
  <si>
    <t>Reagan, National AP</t>
  </si>
  <si>
    <t xml:space="preserve">Winchester </t>
  </si>
  <si>
    <t xml:space="preserve">Aberdeen </t>
  </si>
  <si>
    <t>Bellingham AP</t>
  </si>
  <si>
    <t xml:space="preserve">Bremerton </t>
  </si>
  <si>
    <t>Ellensburg AP</t>
  </si>
  <si>
    <t>Everett-Paine AFB</t>
  </si>
  <si>
    <t xml:space="preserve">Hanford </t>
  </si>
  <si>
    <t xml:space="preserve">Kennewick </t>
  </si>
  <si>
    <t xml:space="preserve">Longview </t>
  </si>
  <si>
    <t>Moses Lake, Larson AFB</t>
  </si>
  <si>
    <t>Olympia AP</t>
  </si>
  <si>
    <t>Port Angeles</t>
  </si>
  <si>
    <t xml:space="preserve">Quillayute </t>
  </si>
  <si>
    <t>Seattle-Boeing Fld</t>
  </si>
  <si>
    <t>Seattle CO</t>
  </si>
  <si>
    <t>Seattle-Tacoma AP</t>
  </si>
  <si>
    <t>Spokane AP</t>
  </si>
  <si>
    <t>Stampede Pass</t>
  </si>
  <si>
    <t>Tacoma-McChord AFB</t>
  </si>
  <si>
    <t>Walla Walla AP</t>
  </si>
  <si>
    <t xml:space="preserve">Wenatchee </t>
  </si>
  <si>
    <t>Yakima AP</t>
  </si>
  <si>
    <t xml:space="preserve">Beckley </t>
  </si>
  <si>
    <t>Bluefield AP</t>
  </si>
  <si>
    <t>Charleston AP</t>
  </si>
  <si>
    <t xml:space="preserve">Clarksburg </t>
  </si>
  <si>
    <t>Elkins AP</t>
  </si>
  <si>
    <t>Huntington CO</t>
  </si>
  <si>
    <t>Martinsburg AP</t>
  </si>
  <si>
    <t>Morgantown AP</t>
  </si>
  <si>
    <t>Parkersburg CO</t>
  </si>
  <si>
    <t xml:space="preserve">Wheeling </t>
  </si>
  <si>
    <t xml:space="preserve">Appleton </t>
  </si>
  <si>
    <t xml:space="preserve">Beloit </t>
  </si>
  <si>
    <t>Eau Claire AP</t>
  </si>
  <si>
    <t>Fond du Lac</t>
  </si>
  <si>
    <t>Green Bay AP</t>
  </si>
  <si>
    <t>LaCrosse AP</t>
  </si>
  <si>
    <t>Madison AP</t>
  </si>
  <si>
    <t xml:space="preserve">Manitowoc </t>
  </si>
  <si>
    <t xml:space="preserve">Marinette </t>
  </si>
  <si>
    <t>Milwaukee AP</t>
  </si>
  <si>
    <t xml:space="preserve">Racine </t>
  </si>
  <si>
    <t xml:space="preserve">Sheboygan </t>
  </si>
  <si>
    <t>Stevens Point</t>
  </si>
  <si>
    <t xml:space="preserve">Waukesha </t>
  </si>
  <si>
    <t>Wausau AP</t>
  </si>
  <si>
    <t>Big Piney</t>
  </si>
  <si>
    <t>Casper AP</t>
  </si>
  <si>
    <t>Cheyene AP</t>
  </si>
  <si>
    <t>Cody AP</t>
  </si>
  <si>
    <t xml:space="preserve">Evanston </t>
  </si>
  <si>
    <t xml:space="preserve">Gillette </t>
  </si>
  <si>
    <t>Version N5ae 1.05 04FEB09</t>
  </si>
  <si>
    <t>Ceilings (vented attic ceiling or any ceiling or roof-ceiling exposed to outdoor humidity)</t>
  </si>
  <si>
    <t>2) Any procedure that can do one room can do any number of zones. The practitioner shall properly group and evaluate spaces for the peak load month and hour of day.</t>
  </si>
  <si>
    <t>3) Exhaust and make-up air equipment affect space pressure, infiltration load and ventilation load.</t>
  </si>
  <si>
    <t>4) Load vs. outdoor temperature graphs show yearly load patterns, heating-cooling change-over and minimum cooling load for space and for equipment.</t>
  </si>
  <si>
    <t>5) Applies to most types of medical, laboratory, electronic, food service, cleaning-washing and process equipment (impossible to provide defaults for everything that may be encountered).</t>
  </si>
  <si>
    <t>I9</t>
  </si>
  <si>
    <t>I12</t>
  </si>
  <si>
    <t>I15</t>
  </si>
  <si>
    <t>I18</t>
  </si>
  <si>
    <t>J9</t>
  </si>
  <si>
    <t>J12</t>
  </si>
  <si>
    <t>J15</t>
  </si>
  <si>
    <t>J18</t>
  </si>
  <si>
    <t>K9</t>
  </si>
  <si>
    <t>K12</t>
  </si>
  <si>
    <t>K15</t>
  </si>
  <si>
    <t>K18</t>
  </si>
  <si>
    <t>Sq. ft.</t>
  </si>
  <si>
    <t>Selma-Craig AFB</t>
  </si>
  <si>
    <t xml:space="preserve">Talladega </t>
  </si>
  <si>
    <t>Tuscaloosa AP</t>
  </si>
  <si>
    <t>Adak, NAS</t>
  </si>
  <si>
    <t>Anchorage IAP</t>
  </si>
  <si>
    <t>Anchorage, Elemendorf AFB</t>
  </si>
  <si>
    <t>Anchorage, Fort Richardson</t>
  </si>
  <si>
    <t xml:space="preserve">Annette </t>
  </si>
  <si>
    <t xml:space="preserve">Barrow </t>
  </si>
  <si>
    <t xml:space="preserve">Bethel </t>
  </si>
  <si>
    <t xml:space="preserve">Bettles </t>
  </si>
  <si>
    <t>Big Delta, Ft. Greely</t>
  </si>
  <si>
    <t>Cold Bay</t>
  </si>
  <si>
    <t>Part 1) Enter base-case load factors and latent heat value from Table 7 (eyeball interpolation is acceptable)</t>
  </si>
  <si>
    <t>For ACH values, use entire floor area for both floors and the second floor volume!</t>
  </si>
  <si>
    <t>AH Return</t>
  </si>
  <si>
    <t>Case #</t>
  </si>
  <si>
    <t>Table 5H</t>
  </si>
  <si>
    <t>CFMimb</t>
  </si>
  <si>
    <t>Part 3</t>
  </si>
  <si>
    <t>NCFM</t>
  </si>
  <si>
    <t>Effective</t>
  </si>
  <si>
    <t>ACH</t>
  </si>
  <si>
    <t>(NACH)</t>
  </si>
  <si>
    <t>H &amp; C</t>
  </si>
  <si>
    <t xml:space="preserve">Const. 16 Ceilings (see Table 4B, 24 Hour CLTDs for Construction 16) </t>
  </si>
  <si>
    <t>(CLTD)</t>
  </si>
  <si>
    <t xml:space="preserve">Waterville </t>
  </si>
  <si>
    <t>Balitimore AP</t>
  </si>
  <si>
    <t>Balitimore CO</t>
  </si>
  <si>
    <t xml:space="preserve">Cumberland </t>
  </si>
  <si>
    <t>Fredrick AP</t>
  </si>
  <si>
    <t xml:space="preserve">Hagerstown </t>
  </si>
  <si>
    <t>Lex Park, Patuxent River NAS</t>
  </si>
  <si>
    <t xml:space="preserve">Salisbury </t>
  </si>
  <si>
    <t>Boston AP</t>
  </si>
  <si>
    <t>East Falmouth, Otis ANGB</t>
  </si>
  <si>
    <t>Fall River</t>
  </si>
  <si>
    <t xml:space="preserve">Framingham </t>
  </si>
  <si>
    <t xml:space="preserve">Gloucester </t>
  </si>
  <si>
    <t xml:space="preserve">Greenfield </t>
  </si>
  <si>
    <t xml:space="preserve">Lawrence </t>
  </si>
  <si>
    <t xml:space="preserve">Lowell </t>
  </si>
  <si>
    <t>New Bedford</t>
  </si>
  <si>
    <t>Pittsfield AP</t>
  </si>
  <si>
    <t>Springfield, Westover AFB</t>
  </si>
  <si>
    <t xml:space="preserve">Tauton </t>
  </si>
  <si>
    <t>Weymouth, S. Weymouth Nas</t>
  </si>
  <si>
    <t>Worcester AP</t>
  </si>
  <si>
    <t>Adrian 798</t>
  </si>
  <si>
    <t>Alpena AP</t>
  </si>
  <si>
    <t>Battle Creek AP</t>
  </si>
  <si>
    <t>Benton Harbor AP</t>
  </si>
  <si>
    <t xml:space="preserve">Detroit </t>
  </si>
  <si>
    <t xml:space="preserve">Escanaba </t>
  </si>
  <si>
    <t>Flint AP</t>
  </si>
  <si>
    <t>Grand Rapids AP</t>
  </si>
  <si>
    <t xml:space="preserve">Hancock </t>
  </si>
  <si>
    <t>Harbour Beach</t>
  </si>
  <si>
    <t xml:space="preserve">Holland </t>
  </si>
  <si>
    <t xml:space="preserve">       Half</t>
  </si>
  <si>
    <t>Frame Construction</t>
  </si>
  <si>
    <t>Metal No Break</t>
  </si>
  <si>
    <t>Metal with Break</t>
  </si>
  <si>
    <t>Insulated Fiberglass</t>
  </si>
  <si>
    <t>Wood or wood clad</t>
  </si>
  <si>
    <t>NE/NW</t>
  </si>
  <si>
    <t>E/W</t>
  </si>
  <si>
    <t>SE/SW</t>
  </si>
  <si>
    <t>1a</t>
  </si>
  <si>
    <t>1b</t>
  </si>
  <si>
    <t>1c</t>
  </si>
  <si>
    <t>1d</t>
  </si>
  <si>
    <t>2a</t>
  </si>
  <si>
    <t>2b</t>
  </si>
  <si>
    <t>2c</t>
  </si>
  <si>
    <t>2d</t>
  </si>
  <si>
    <t>3a</t>
  </si>
  <si>
    <t>3b</t>
  </si>
  <si>
    <t>3c</t>
  </si>
  <si>
    <t>3d</t>
  </si>
  <si>
    <t>Lower</t>
  </si>
  <si>
    <t>Higher</t>
  </si>
  <si>
    <t>Double pane, fixed sash</t>
  </si>
  <si>
    <t>Example Index &amp; Match = Lookup</t>
  </si>
  <si>
    <t>NE</t>
  </si>
  <si>
    <t>SE</t>
  </si>
  <si>
    <t>SW</t>
  </si>
  <si>
    <t>NW</t>
  </si>
  <si>
    <t>Light</t>
  </si>
  <si>
    <t>Heavy</t>
  </si>
  <si>
    <t>Internal Shade</t>
  </si>
  <si>
    <t>Time</t>
  </si>
  <si>
    <t>CLF Values</t>
  </si>
  <si>
    <t>Interpolated</t>
  </si>
  <si>
    <t xml:space="preserve">    Latent Load = 0.68 x ACF x (VCFM or CFMdish) x DGgrains</t>
  </si>
  <si>
    <t>Total App. CFM =</t>
  </si>
  <si>
    <t>Table 8 Ventilation Rate Evaluation</t>
  </si>
  <si>
    <t>Difference</t>
  </si>
  <si>
    <t>Block</t>
  </si>
  <si>
    <t>East</t>
  </si>
  <si>
    <t>H</t>
  </si>
  <si>
    <t>B</t>
  </si>
  <si>
    <t>Tight</t>
  </si>
  <si>
    <t>One</t>
  </si>
  <si>
    <t>Default ALF for cooling = Form N1, line 14  sensible load / (1.1 x  ACF x (IAT - SAT) x Floor Area); or known value</t>
  </si>
  <si>
    <t>Default SAT = 100 ºF; so default (SAT - IAT) = 30 º</t>
  </si>
  <si>
    <t>Default ALF for heating = Form N1, line 14  heating load / (1.1 x  ACF x (SAT - IAT) x Floor Area); or known value</t>
  </si>
  <si>
    <t>Table 6A Description
and Table 6-10 Code</t>
  </si>
  <si>
    <t>Fixture</t>
  </si>
  <si>
    <t>Watts</t>
  </si>
  <si>
    <t>(FW)</t>
  </si>
  <si>
    <t>Fixtures</t>
  </si>
  <si>
    <t>(N)</t>
  </si>
  <si>
    <t>Diversity</t>
  </si>
  <si>
    <t>Gain</t>
  </si>
  <si>
    <t>(LFG)</t>
  </si>
  <si>
    <t>6A-10</t>
  </si>
  <si>
    <t>(SLG)</t>
  </si>
  <si>
    <t>TM Code</t>
  </si>
  <si>
    <t>(SLL)</t>
  </si>
  <si>
    <t>Return</t>
  </si>
  <si>
    <t>Air Load</t>
  </si>
  <si>
    <t>(RLL)</t>
  </si>
  <si>
    <t xml:space="preserve">Totals = </t>
  </si>
  <si>
    <t>Part 2 -- Sensible and Latent Load for Occupants (Btuh)</t>
  </si>
  <si>
    <t>(LCL)</t>
  </si>
  <si>
    <t>(SCL)</t>
  </si>
  <si>
    <t>(SG)</t>
  </si>
  <si>
    <t>Value</t>
  </si>
  <si>
    <t>(Btuh)</t>
  </si>
  <si>
    <t>Count</t>
  </si>
  <si>
    <t>Occupant Activities
Table 6B</t>
  </si>
  <si>
    <t xml:space="preserve">Total occupant loads for Form N1, Line 12b = </t>
  </si>
  <si>
    <t>Alexander City</t>
  </si>
  <si>
    <t>Anniston AP</t>
  </si>
  <si>
    <t xml:space="preserve">Auburn </t>
  </si>
  <si>
    <t>Birmingham AP</t>
  </si>
  <si>
    <t xml:space="preserve">Decatur </t>
  </si>
  <si>
    <t>Dothan AP</t>
  </si>
  <si>
    <t>Florence AP</t>
  </si>
  <si>
    <t xml:space="preserve">Gadsden </t>
  </si>
  <si>
    <t>Huntsville AP</t>
  </si>
  <si>
    <t>Mobile AP</t>
  </si>
  <si>
    <t>Mobile CO</t>
  </si>
  <si>
    <t>Montgomery AP</t>
  </si>
  <si>
    <t>Ozark, Fort Rucker</t>
  </si>
  <si>
    <t>Const 20</t>
  </si>
  <si>
    <t>10M</t>
  </si>
  <si>
    <t>10L</t>
  </si>
  <si>
    <t>15L</t>
  </si>
  <si>
    <t>15M</t>
  </si>
  <si>
    <t>15H</t>
  </si>
  <si>
    <t>20L</t>
  </si>
  <si>
    <t>20M</t>
  </si>
  <si>
    <t>20H</t>
  </si>
  <si>
    <t>25M</t>
  </si>
  <si>
    <t>25H</t>
  </si>
  <si>
    <t>30H</t>
  </si>
  <si>
    <t>35H</t>
  </si>
  <si>
    <t>CLTD values for doors</t>
  </si>
  <si>
    <t>A9</t>
  </si>
  <si>
    <t>A12</t>
  </si>
  <si>
    <t>A15</t>
  </si>
  <si>
    <t>A18</t>
  </si>
  <si>
    <t>B9</t>
  </si>
  <si>
    <t>B12</t>
  </si>
  <si>
    <t>B15</t>
  </si>
  <si>
    <t>B18</t>
  </si>
  <si>
    <t>Entire return air plenum below a roof (RAP-1)</t>
  </si>
  <si>
    <t>Entire return air plenum below a conditioned space (RAP-2)</t>
  </si>
  <si>
    <t>No load</t>
  </si>
  <si>
    <t>Worksheet RAP-3</t>
  </si>
  <si>
    <t>2) Perform RAP-1 heat balance calculations for heating and cooling using the entire floor area of the space covered by the return air plenum.</t>
  </si>
  <si>
    <t>* The ALF for the duct table equals the default ALF for the peak load month and hour or a value specified by the practitioner.</t>
  </si>
  <si>
    <t>5) Determine the floor area for the portion of the space that is under a conditioned space.</t>
  </si>
  <si>
    <t>For Wrk G (DAC-3 not used)</t>
  </si>
  <si>
    <t>Adj CT for</t>
  </si>
  <si>
    <t>CT value</t>
  </si>
  <si>
    <t>Fixed blower selection bug</t>
  </si>
  <si>
    <t>One return for four supplies; returns close to air handler</t>
  </si>
  <si>
    <t>7RP-0.5</t>
  </si>
  <si>
    <t>Light Dimensions</t>
  </si>
  <si>
    <t>Added door infiltration Tables 5F &amp; 5G to infiltration calculation</t>
  </si>
  <si>
    <r>
      <t>DCF = Sum(LFi x UFi)</t>
    </r>
    <r>
      <rPr>
        <sz val="8"/>
        <rFont val="Arial"/>
        <family val="2"/>
      </rPr>
      <t xml:space="preserve">     DCP = RHP x DCF           For motor and equipment in: DCG = (2,545 x DCP) / FLME - Stored Energy
For motor out, equipment in: DCG = 2,545 x DCP - Stored Energy          For motor in, equipment out: DCG = (2,545 x DCP) / FLME - 2,545 x DCP
See Section 8 for energy calculations      SCL = DCG x N x CLF</t>
    </r>
  </si>
  <si>
    <t>DCF = Sum(LFi x UFi) Calculator</t>
  </si>
  <si>
    <t>(LF)</t>
  </si>
  <si>
    <t>(UF)</t>
  </si>
  <si>
    <t>Occupant Activities (Wrk E, Part 2)</t>
  </si>
  <si>
    <t>CFM / Per</t>
  </si>
  <si>
    <t>Total Occupant CFM =</t>
  </si>
  <si>
    <t>Cfm / Room</t>
  </si>
  <si>
    <t>Worksheet D2</t>
  </si>
  <si>
    <t>Ceiling Load for a Return Air Plenum Under a Conditioned Space</t>
  </si>
  <si>
    <t>IAT = Indoor design dry bulb for midsummer (default = 75 ºF)</t>
  </si>
  <si>
    <t>Floor HTM for Cooling</t>
  </si>
  <si>
    <t xml:space="preserve">Table 4A; Item 17D </t>
  </si>
  <si>
    <t>HTM -</t>
  </si>
  <si>
    <t>Actual SqFt = floor area under roof for D1 and floor area under conditioned space for D2</t>
  </si>
  <si>
    <t>3) Export heating and cooling HTM values and net (or gross) areas to Form N1.</t>
  </si>
  <si>
    <t>Midsummer Design Conditions for Cooling</t>
  </si>
  <si>
    <t>Mid Summer OD Design =</t>
  </si>
  <si>
    <t xml:space="preserve">Mid Summer ID Dsn = </t>
  </si>
  <si>
    <t>Ceiling Slope &gt;</t>
  </si>
  <si>
    <t>Use gross area if &lt; 50 %;  use French door if 
&gt; 50%.</t>
  </si>
  <si>
    <t>HTD =</t>
  </si>
  <si>
    <t>Base</t>
  </si>
  <si>
    <t>(F)</t>
  </si>
  <si>
    <t>Dsn Temp</t>
  </si>
  <si>
    <t>Return Air HTM for Cooling</t>
  </si>
  <si>
    <t>RLL</t>
  </si>
  <si>
    <t>Other</t>
  </si>
  <si>
    <t>Lighting</t>
  </si>
  <si>
    <t>Floor</t>
  </si>
  <si>
    <t>Loads</t>
  </si>
  <si>
    <t>Material</t>
  </si>
  <si>
    <t>HTM (-)</t>
  </si>
  <si>
    <t>Lines 6-13</t>
  </si>
  <si>
    <t>Area</t>
  </si>
  <si>
    <t>ALF for</t>
  </si>
  <si>
    <t>Wks E</t>
  </si>
  <si>
    <t>T4A-17c</t>
  </si>
  <si>
    <t>Look Up</t>
  </si>
  <si>
    <t>ALF</t>
  </si>
  <si>
    <t>Ambient db</t>
  </si>
  <si>
    <t>Amb Grains</t>
  </si>
  <si>
    <t>Table</t>
  </si>
  <si>
    <t>Version N5ae 1.06 27APR09</t>
  </si>
  <si>
    <t>Fixed Btuh gain for lights</t>
  </si>
  <si>
    <t>Fixed Btuh gain for food service equipment and investigated loads calculation</t>
  </si>
  <si>
    <t xml:space="preserve">Added Comments Tab </t>
  </si>
  <si>
    <t>Enter any comments related to this job here.</t>
  </si>
  <si>
    <t>Copy digital photos or create hyperlinks to additional information here.</t>
  </si>
  <si>
    <t xml:space="preserve">Part 2 — Use Default Ueff Value for GP Skylight, Curb and Light Shaft Assembly or Compute Actual Ueff 
</t>
  </si>
  <si>
    <t>Actual Performance</t>
  </si>
  <si>
    <t>Curb Area Ratio</t>
  </si>
  <si>
    <t>Shaft Area Ratio</t>
  </si>
  <si>
    <t>or Table 2B-3 Default</t>
  </si>
  <si>
    <t>Ueff for</t>
  </si>
  <si>
    <t>CU Glass</t>
  </si>
  <si>
    <t>NFRC Glass</t>
  </si>
  <si>
    <t>Part 1      Line</t>
  </si>
  <si>
    <t>or NFRC</t>
  </si>
  <si>
    <t>GP, CU</t>
  </si>
  <si>
    <t>Line</t>
  </si>
  <si>
    <t>CU SHGC</t>
  </si>
  <si>
    <t>GP Ueff</t>
  </si>
  <si>
    <t>GP SHGC</t>
  </si>
  <si>
    <t>p1</t>
  </si>
  <si>
    <t>p2</t>
  </si>
  <si>
    <t>Part 2A -- Basic HTM for North Facing Glass</t>
  </si>
  <si>
    <t>HTM for Part 1 glass facing North, with applicable adjustment for internal shade, insect screen and bay or garden window shape.</t>
  </si>
  <si>
    <t>Adjusted CLTD (PTDC) for #17D floors (over RA cavity) = Wrks D2</t>
  </si>
  <si>
    <t>Levels served by duct runs (1, 2 or 3)</t>
  </si>
  <si>
    <t xml:space="preserve">CFMimb ≤ 0.30 x ICFM </t>
  </si>
  <si>
    <t>NCFM = ICFM = CFMinf</t>
  </si>
  <si>
    <t>Heat =</t>
  </si>
  <si>
    <t>Cool =</t>
  </si>
  <si>
    <t>Room, Zone, or Block</t>
  </si>
  <si>
    <t xml:space="preserve">Apply = 2 &gt; </t>
  </si>
  <si>
    <t xml:space="preserve">Apply = 1 &gt; </t>
  </si>
  <si>
    <t>A) Ceiling Load, No Floor Load</t>
  </si>
  <si>
    <t>Average Above</t>
  </si>
  <si>
    <t>True = 1</t>
  </si>
  <si>
    <t>or blank</t>
  </si>
  <si>
    <t>B) Floor Load For Whole Floor</t>
  </si>
  <si>
    <t>Heated</t>
  </si>
  <si>
    <t>Cooled</t>
  </si>
  <si>
    <t>Totals</t>
  </si>
  <si>
    <t>Grade Wall</t>
  </si>
  <si>
    <t>Pipe</t>
  </si>
  <si>
    <t>6G-1; 6G-2</t>
  </si>
  <si>
    <t>Insul.</t>
  </si>
  <si>
    <t>Wall TD</t>
  </si>
  <si>
    <t>(°F)</t>
  </si>
  <si>
    <t>Diameter</t>
  </si>
  <si>
    <t>(Inches)</t>
  </si>
  <si>
    <t>Part 5 -- Sensible and Latent Load for Food Service Equipment (Btuh)</t>
  </si>
  <si>
    <t>Equipment Item
Table 6E</t>
  </si>
  <si>
    <t>Item
Table 6D</t>
  </si>
  <si>
    <t>Make-Up</t>
  </si>
  <si>
    <t>Cfm</t>
  </si>
  <si>
    <t>California, San Bernadino, Norton AFB</t>
  </si>
  <si>
    <t>California, San Diego AP</t>
  </si>
  <si>
    <t>California, San Diego, Miramar NAS</t>
  </si>
  <si>
    <t>California, San Fernando</t>
  </si>
  <si>
    <t>California, San Francisco AP</t>
  </si>
  <si>
    <t>California, San Francisco CO</t>
  </si>
  <si>
    <t>5) Heating Load = 1.1 ACF x (VCFM or CFMdish) x (T2heat - T1heat )</t>
  </si>
  <si>
    <t xml:space="preserve">    Sensible Load = 1.1 ACF x (VCFM or CFMdish) x (T1cool - T2cool )</t>
  </si>
  <si>
    <t>Sun Screen Adjustment</t>
  </si>
  <si>
    <t>HTMss = (HTMD - HTMN) x SCss+ HTMN</t>
  </si>
  <si>
    <t>OH Proj</t>
  </si>
  <si>
    <t>(X) Ft</t>
  </si>
  <si>
    <t>Above</t>
  </si>
  <si>
    <t>Glass</t>
  </si>
  <si>
    <t>(Y) Ft</t>
  </si>
  <si>
    <t>Height</t>
  </si>
  <si>
    <t>(H) Ft</t>
  </si>
  <si>
    <t>Width</t>
  </si>
  <si>
    <t>(W) Ft</t>
  </si>
  <si>
    <t>SLM</t>
  </si>
  <si>
    <t>@ Lat</t>
  </si>
  <si>
    <t>HTMOH</t>
  </si>
  <si>
    <t>Overhang Adjustment</t>
  </si>
  <si>
    <t>Use Table 3E-1 for HTMOH</t>
  </si>
  <si>
    <t>S = Z - Y</t>
  </si>
  <si>
    <t>U = H - S</t>
  </si>
  <si>
    <t>S x W</t>
  </si>
  <si>
    <t>U x W</t>
  </si>
  <si>
    <t>Shade Area</t>
  </si>
  <si>
    <t>Sun Area</t>
  </si>
  <si>
    <t>Opening</t>
  </si>
  <si>
    <t>To OH</t>
  </si>
  <si>
    <t>SL distance</t>
  </si>
  <si>
    <t>Shd Ht</t>
  </si>
  <si>
    <t>No shade Ht</t>
  </si>
  <si>
    <t>Z = X x SLM</t>
  </si>
  <si>
    <t>High (FT)</t>
  </si>
  <si>
    <t>Wide (FT)</t>
  </si>
  <si>
    <t>X in Ft</t>
  </si>
  <si>
    <t>Y in Ft</t>
  </si>
  <si>
    <t>Shaded</t>
  </si>
  <si>
    <t>Load</t>
  </si>
  <si>
    <t>Sun Lit</t>
  </si>
  <si>
    <t>Total</t>
  </si>
  <si>
    <t>Overhang Adjustment -- Table 3E-1 Worksheet</t>
  </si>
  <si>
    <t>and Mo</t>
  </si>
  <si>
    <t>and Hour</t>
  </si>
  <si>
    <t>for</t>
  </si>
  <si>
    <t>Enter 1</t>
  </si>
  <si>
    <t>Constant fan heat Btuh</t>
  </si>
  <si>
    <t>Hour fan heat Btuh</t>
  </si>
  <si>
    <t>Hour pump heat Btuh</t>
  </si>
  <si>
    <t xml:space="preserve">maximum of hourly values. </t>
  </si>
  <si>
    <t>For constant fan Cfm or pump Gpm, enter</t>
  </si>
  <si>
    <t>For varable flow fan or pump, leave blank.</t>
  </si>
  <si>
    <t>For Hour fo Day on Wrk A</t>
  </si>
  <si>
    <t>Constant pump heat</t>
  </si>
  <si>
    <t>2) Perform D1 heat balance calculations for heating and cooling using the entire floor area of the space covered by the return air plenum.</t>
  </si>
  <si>
    <t>3) Perform D2 heat balance calculations for heating and cooling using the entire floor area of the space covered by the return air plenum.</t>
  </si>
  <si>
    <t>Summary for Form N1</t>
  </si>
  <si>
    <t>Month / Hour</t>
  </si>
  <si>
    <t xml:space="preserve">Month/Hr OD Dsn = </t>
  </si>
  <si>
    <t xml:space="preserve">Month/Hr ID Dsn = </t>
  </si>
  <si>
    <t>Worksheet B
HTM Values for Windows and Glass Doors</t>
  </si>
  <si>
    <t>Part 1 -- Basic HTM for Direction Glass Faces</t>
  </si>
  <si>
    <t>Directional HTM with applicable adjustment for internal shade, insect screen and bay or garden window shape.</t>
  </si>
  <si>
    <t>Not adjusted for overhang or external sun screen (see Part 2).</t>
  </si>
  <si>
    <t>Hour</t>
  </si>
  <si>
    <t>HTD</t>
  </si>
  <si>
    <t>Weight</t>
  </si>
  <si>
    <t>PSF</t>
  </si>
  <si>
    <t>3D-2</t>
  </si>
  <si>
    <t>CLF</t>
  </si>
  <si>
    <t>3D-3</t>
  </si>
  <si>
    <t>ISC</t>
  </si>
  <si>
    <t>3D-4</t>
  </si>
  <si>
    <t>Table 3D Values</t>
  </si>
  <si>
    <t>Shade</t>
  </si>
  <si>
    <t>(Type)</t>
  </si>
  <si>
    <t>Glazing</t>
  </si>
  <si>
    <t>NFRC</t>
  </si>
  <si>
    <t>SHGC</t>
  </si>
  <si>
    <t>Tbl 2 or</t>
  </si>
  <si>
    <t>U-value</t>
  </si>
  <si>
    <t>Heat</t>
  </si>
  <si>
    <t>Adjust</t>
  </si>
  <si>
    <t>AHTMD</t>
  </si>
  <si>
    <t>HTMD</t>
  </si>
  <si>
    <t>Cool</t>
  </si>
  <si>
    <t>2) No credit for heat gain from ceiling lighting fixtures; assumes relatively tight ceiling (moisture close to outdoor condition). Use the procedure for a dead</t>
  </si>
  <si>
    <t>1) OAT = Design value for outdoor dry bulb temperature; Design Gr = Design value for grains difference (for month and hour used for the load estimate)</t>
  </si>
  <si>
    <t>For heating, negative values for the weighted average load default to zero.</t>
  </si>
  <si>
    <t>Const. Number</t>
  </si>
  <si>
    <t>Tbl 4B</t>
  </si>
  <si>
    <t>Tbl 4A</t>
  </si>
  <si>
    <t>Vented attic with dark, low-mass roof (construction 16B)</t>
  </si>
  <si>
    <t>Vented attic with white, low-mass roof (construction 16C)</t>
  </si>
  <si>
    <t>Vented attic with dark, high-mass roof (construction 16D)</t>
  </si>
  <si>
    <t>Added skylight curb and shaft data input</t>
  </si>
  <si>
    <t>Single pane 1/4" glass, fixed sash</t>
  </si>
  <si>
    <t>Single pane 1/4" glass, operable glass</t>
  </si>
  <si>
    <t>Flat generic skylight 1/4" glass</t>
  </si>
  <si>
    <t>Metal sash no break (U=1.13)</t>
  </si>
  <si>
    <t>Metal no break</t>
  </si>
  <si>
    <t>Metal with break</t>
  </si>
  <si>
    <t>Insulated fiberglass</t>
  </si>
  <si>
    <t>Floor Area of Conditioned Space</t>
  </si>
  <si>
    <t>3,000; 6,000; 9,000; 12,000 and 15,000 SqFt</t>
  </si>
  <si>
    <t>System Airflow Rate (ALF)</t>
  </si>
  <si>
    <t>ALF (Cfm per SqFt floor area) = 0.50, 1.0, 1.5, 2.0, 2.5, 3.0, 3.5, 4.0. 4.5, 5.0</t>
  </si>
  <si>
    <t>Default Values for Duct Surface Area</t>
  </si>
  <si>
    <t>No Information</t>
  </si>
  <si>
    <t>Default values for supply-side and return side conform to Manual Q procedures</t>
  </si>
  <si>
    <t>Actual Values for Duct Surface Area</t>
  </si>
  <si>
    <t>Not supported</t>
  </si>
  <si>
    <t>Use values from field measurements or from plans</t>
  </si>
  <si>
    <t>Duct in More than One Type of Space</t>
  </si>
  <si>
    <t>Footnote: Use weighted average</t>
  </si>
  <si>
    <t>Worksheet procedure</t>
  </si>
  <si>
    <t>Return Air Load for Return Air Plenum</t>
  </si>
  <si>
    <t>40% of ceiling lights and roof load</t>
  </si>
  <si>
    <t>Heat balance calculation, actual conditions</t>
  </si>
  <si>
    <t>Engineered Ventilation</t>
  </si>
  <si>
    <t>Outdoor Air Cfm for Health and Safety</t>
  </si>
  <si>
    <t>Discussion of issues and resources, practitioner shall conform to codes and standards</t>
  </si>
  <si>
    <t>Outdoor Air Cfm for Load Calculation</t>
  </si>
  <si>
    <t>Void health and safety Cfm from 1970's</t>
  </si>
  <si>
    <t>Table provides defaults for various applications</t>
  </si>
  <si>
    <t>Maine, Bangor, Dow AFB</t>
  </si>
  <si>
    <t>Maine, Brunswick, NAS</t>
  </si>
  <si>
    <t>Maine, Caribou AP</t>
  </si>
  <si>
    <t xml:space="preserve">Maine, Lewiston </t>
  </si>
  <si>
    <t>Maine, Limestone, Loring AFB</t>
  </si>
  <si>
    <t>Maine, Millinocket AP</t>
  </si>
  <si>
    <t xml:space="preserve">Maine, Portland </t>
  </si>
  <si>
    <t xml:space="preserve">Maine, Waterville </t>
  </si>
  <si>
    <t>Maryland, Balitimore AP</t>
  </si>
  <si>
    <t>Maryland, Balitimore CO</t>
  </si>
  <si>
    <t xml:space="preserve">Maryland, Cumberland </t>
  </si>
  <si>
    <t>Maryland, Fredrick AP</t>
  </si>
  <si>
    <t xml:space="preserve">Maryland, Hagerstown </t>
  </si>
  <si>
    <t>Maryland, Lex Park, Patuxent River NAS</t>
  </si>
  <si>
    <t xml:space="preserve">Maryland, Salisbury </t>
  </si>
  <si>
    <t>Massachusetts, Boston AP</t>
  </si>
  <si>
    <t xml:space="preserve">Massachusetts, Clinton </t>
  </si>
  <si>
    <t>Massachusetts, East Falmouth, Otis ANGB</t>
  </si>
  <si>
    <t>Massachusetts, Fall River</t>
  </si>
  <si>
    <t xml:space="preserve">Massachusetts, Framingham </t>
  </si>
  <si>
    <t xml:space="preserve">Massachusetts, Gloucester </t>
  </si>
  <si>
    <t xml:space="preserve">Massachusetts, Greenfield </t>
  </si>
  <si>
    <t xml:space="preserve">Massachusetts, Lawrence </t>
  </si>
  <si>
    <t xml:space="preserve">Massachusetts, Lowell </t>
  </si>
  <si>
    <t>Massachusetts, New Bedford</t>
  </si>
  <si>
    <t>Massachusetts, Pittsfield AP</t>
  </si>
  <si>
    <t>Massachusetts, Springfield, Westover AFB</t>
  </si>
  <si>
    <t xml:space="preserve">Massachusetts, Tauton </t>
  </si>
  <si>
    <t>Massachusetts, Weymouth, S. Weymouth Nas</t>
  </si>
  <si>
    <r>
      <t xml:space="preserve">Construction number 19 uses </t>
    </r>
    <r>
      <rPr>
        <b/>
        <sz val="10"/>
        <rFont val="Arial"/>
        <family val="2"/>
      </rPr>
      <t>PTDC</t>
    </r>
    <r>
      <rPr>
        <sz val="10"/>
        <rFont val="Arial"/>
        <family val="2"/>
      </rPr>
      <t xml:space="preserve"> </t>
    </r>
  </si>
  <si>
    <r>
      <t xml:space="preserve">Construction number 20A uses </t>
    </r>
    <r>
      <rPr>
        <b/>
        <sz val="10"/>
        <rFont val="Arial"/>
        <family val="2"/>
      </rPr>
      <t>CLTD</t>
    </r>
    <r>
      <rPr>
        <sz val="10"/>
        <rFont val="Arial"/>
        <family val="2"/>
      </rPr>
      <t xml:space="preserve"> </t>
    </r>
  </si>
  <si>
    <r>
      <t xml:space="preserve">Construction number 20B uses </t>
    </r>
    <r>
      <rPr>
        <b/>
        <sz val="10"/>
        <rFont val="Arial"/>
        <family val="2"/>
      </rPr>
      <t xml:space="preserve">Group Code </t>
    </r>
  </si>
  <si>
    <t>Notes:</t>
  </si>
  <si>
    <t>Panel</t>
  </si>
  <si>
    <t>Faces</t>
  </si>
  <si>
    <t>HTM</t>
  </si>
  <si>
    <t>Type of</t>
  </si>
  <si>
    <t>Exposure</t>
  </si>
  <si>
    <t>Length</t>
  </si>
  <si>
    <t>Btuh</t>
  </si>
  <si>
    <t>Form N1</t>
  </si>
  <si>
    <t>Skylights</t>
  </si>
  <si>
    <t>Walls</t>
  </si>
  <si>
    <t>Ceilings</t>
  </si>
  <si>
    <t>Floors</t>
  </si>
  <si>
    <t>Internal</t>
  </si>
  <si>
    <t>Lighting Fixtures</t>
  </si>
  <si>
    <t>Occupants and Plants</t>
  </si>
  <si>
    <t>Office Equipment</t>
  </si>
  <si>
    <t>DT-fan, Motor, Pipe, Hot/Wet Surface, Steam, Hygros</t>
  </si>
  <si>
    <t>Regain for Cold Storage or Pipe (negative cooling load)</t>
  </si>
  <si>
    <t>Infiltration</t>
  </si>
  <si>
    <t>1% db</t>
  </si>
  <si>
    <t>wb</t>
  </si>
  <si>
    <t>North Dakota</t>
  </si>
  <si>
    <t>Ohio</t>
  </si>
  <si>
    <t>Oklahoma</t>
  </si>
  <si>
    <t>Bismark AP</t>
  </si>
  <si>
    <t>Akron-Canton AP</t>
  </si>
  <si>
    <t>Database</t>
  </si>
  <si>
    <t>Altus AFB</t>
  </si>
  <si>
    <t>Heating Design 99% DB</t>
  </si>
  <si>
    <t>Cooling Design 1% DB</t>
  </si>
  <si>
    <t>Design Grains Difference</t>
  </si>
  <si>
    <t>Daily Range</t>
  </si>
  <si>
    <t>Heating Design Space DB</t>
  </si>
  <si>
    <t>Cooling Design Space DB</t>
  </si>
  <si>
    <t>Rel Hum Design Space %</t>
  </si>
  <si>
    <t>Design Month</t>
  </si>
  <si>
    <t>Arizona, Yuma AP</t>
  </si>
  <si>
    <t>Arkansas, Blytheville AFB</t>
  </si>
  <si>
    <t xml:space="preserve">Arkansas, Camden </t>
  </si>
  <si>
    <t>Arkansas, El Dorado AP</t>
  </si>
  <si>
    <t>Arkansas, Fayetteville AP</t>
  </si>
  <si>
    <t>1A-cuo-c</t>
  </si>
  <si>
    <t>11S</t>
  </si>
  <si>
    <t>Overhead Door, Wood Panels or Sections</t>
  </si>
  <si>
    <t>13A-5oc-b</t>
  </si>
  <si>
    <t>Block, brick exterior finish, R-5 insulation, open core, plus interior finish</t>
  </si>
  <si>
    <t>Block, no exterior or interior finish, core filled</t>
  </si>
  <si>
    <t>12E-Osm</t>
  </si>
  <si>
    <t>17B-15m-19</t>
  </si>
  <si>
    <t>Metal deck plus R-15 board, R19 Suspended Ceiling</t>
  </si>
  <si>
    <t>17A-15m</t>
  </si>
  <si>
    <t>Blower</t>
  </si>
  <si>
    <t>Door</t>
  </si>
  <si>
    <t>ELA4</t>
  </si>
  <si>
    <t>Table 5E</t>
  </si>
  <si>
    <t>5D</t>
  </si>
  <si>
    <t>Semi-Tight</t>
  </si>
  <si>
    <t>Semi-Loose</t>
  </si>
  <si>
    <t>Loose</t>
  </si>
  <si>
    <t>5C11</t>
  </si>
  <si>
    <t>5C12</t>
  </si>
  <si>
    <t>5C13</t>
  </si>
  <si>
    <t>5C14</t>
  </si>
  <si>
    <t>5C15</t>
  </si>
  <si>
    <t>5C21</t>
  </si>
  <si>
    <t>5C22</t>
  </si>
  <si>
    <t>5C23</t>
  </si>
  <si>
    <t>5C24</t>
  </si>
  <si>
    <t>5C25</t>
  </si>
  <si>
    <t>5D11</t>
  </si>
  <si>
    <t>5D12</t>
  </si>
  <si>
    <t>5D13</t>
  </si>
  <si>
    <t>5D14</t>
  </si>
  <si>
    <t>5D15</t>
  </si>
  <si>
    <t>5D21</t>
  </si>
  <si>
    <t>5D22</t>
  </si>
  <si>
    <t>5D23</t>
  </si>
  <si>
    <t>5D24</t>
  </si>
  <si>
    <t>5D25</t>
  </si>
  <si>
    <t>Multi Level</t>
  </si>
  <si>
    <t>Htg</t>
  </si>
  <si>
    <t>Clg</t>
  </si>
  <si>
    <t>Ceilings and Roofs (Construction 16, 16-ecap, 17A, 17B, 17C, 17D and 18)</t>
  </si>
  <si>
    <t>BSGF = (8.500E-08 x Amb - 4.850E-06) x Floor Area + 2.425E-03 x Amb - 1.393E-01</t>
  </si>
  <si>
    <t>7RC-1.0</t>
  </si>
  <si>
    <t>BLG = (5.708E-03 x Amb + 9.580E-01) x Floor Area - 4.9583E+00 x Amb - 1.052E+03</t>
  </si>
  <si>
    <t>BHLF = (-4.167E-08 x Amb + 4.000E-06) x Floor Area - 1.075E-03 x Amb + 1.000E-01</t>
  </si>
  <si>
    <t>BSGF = (6.500E-08 x Amb - 3.650E-06) x Floor Area + 1.515E-03 x Amb - 8.965E-02</t>
  </si>
  <si>
    <t>7RC-1.5</t>
  </si>
  <si>
    <t>7RC-2.0</t>
  </si>
  <si>
    <t>BLG = (1.720E-02 x Amb + 1.538E-01) x Floor Area - 1.753E+01 x Amb - 1.720E+02</t>
  </si>
  <si>
    <t>BHLF = (-3.194-08 x Amb + 3.153E-06) x Floor Area - 8.208E-04 x Amb + 7.671E-02</t>
  </si>
  <si>
    <t>BSGF = (4.75E-08 x Amb - 2.684E-06) x Floor Area + 1.048E-03 x Amb - 6.138E-02</t>
  </si>
  <si>
    <t>Radial or Spider Supply System Installed Under a Ground Slab, Return in Conditioned Space</t>
  </si>
  <si>
    <t>7GSC-0.5</t>
  </si>
  <si>
    <t>Duct leakage Cfm per SqFt of supply duct surface area = No leakage</t>
  </si>
  <si>
    <t>Duct wall insulation R-value = None</t>
  </si>
  <si>
    <t>No Insulation, No Leakage</t>
  </si>
  <si>
    <t>No leakage in supply duct, no load for return duct in conditioned space.</t>
  </si>
  <si>
    <t>Ambient dry-bukb = (Summer design dry-bulb - Winter design dry-bulb) / 2</t>
  </si>
  <si>
    <t>BHLF = (-3.750E-08 x Amb + 3.875E-06) x Floor Area - 1.088E-03 x Amb + 1.084E-01</t>
  </si>
  <si>
    <t>BSGF = (5.000E-08 x Amb - 2.750E-06) x Floor Area + 1.275E-03 x Amb - 7.050E-02</t>
  </si>
  <si>
    <t>R0</t>
  </si>
  <si>
    <t>7GSC-1.0</t>
  </si>
  <si>
    <t>BHLF = (-3.125E-08 x Amb + 3.188E-06) x Floor Area - 6.563E-04 x Amb + 6.394E-02</t>
  </si>
  <si>
    <t>BSGF = (3.125E-08 x Amb - 1.688E-06) x Floor Area + 8.813E-04 x Amb - 4.819E-02</t>
  </si>
  <si>
    <t>7GSC-1.5</t>
  </si>
  <si>
    <t>BHLF = (-2.500E-08 x Amb + 2.250E-06) x Floor Area - 5.250E-04 x Amb + 5.625E-02</t>
  </si>
  <si>
    <t>BSGF = (2.500E-08 x Amb - 1.125E-06) x Floor Area + 7.500E-04 x Amb - 4.200E-02</t>
  </si>
  <si>
    <t>7GSC-2.0</t>
  </si>
  <si>
    <t>Load Factor or Gr =</t>
  </si>
  <si>
    <t xml:space="preserve">DF Duct SqFt </t>
  </si>
  <si>
    <t>Floor SF 2</t>
  </si>
  <si>
    <t>Floor SF 1</t>
  </si>
  <si>
    <t>Enter 1 if applied to cooling line 20, Form N1. Enter 2 for winter humid load on line 17, Form N1. Enter 3 for device that has own heat source. &gt;</t>
  </si>
  <si>
    <t>Enter 2 for winter humid load on line 17, Form N1. Enter 3 for a device that has its own heat source. &gt;</t>
  </si>
  <si>
    <t>Product</t>
  </si>
  <si>
    <t>Hydration</t>
  </si>
  <si>
    <t>Const. No. 19</t>
  </si>
  <si>
    <t>Const. No. 21</t>
  </si>
  <si>
    <t>Const. No. 22</t>
  </si>
  <si>
    <t>Scroll for space 3 and 4 &gt;&gt;&gt;</t>
  </si>
  <si>
    <t>Scroll for space 4 &gt;&gt;&gt;</t>
  </si>
  <si>
    <t>For Duct Runs in Unconditioned Space</t>
  </si>
  <si>
    <t>Tbl 1F</t>
  </si>
  <si>
    <t>DB Adjust</t>
  </si>
  <si>
    <t>Worksheet D
HTM Values and Net Area for Opaque Panels</t>
  </si>
  <si>
    <t>or</t>
  </si>
  <si>
    <t>(Ft)</t>
  </si>
  <si>
    <t>Average</t>
  </si>
  <si>
    <t>Oregon, Baker AP</t>
  </si>
  <si>
    <t xml:space="preserve">Oregon, Bend </t>
  </si>
  <si>
    <t xml:space="preserve">Oregon, Corvallis </t>
  </si>
  <si>
    <t>Oregon, Eugene AP</t>
  </si>
  <si>
    <t>Oregon, Grants Pass</t>
  </si>
  <si>
    <t xml:space="preserve">Oregon, Hillsboro </t>
  </si>
  <si>
    <t>Oregon, Klamath Falls AP</t>
  </si>
  <si>
    <t xml:space="preserve">Oregon, Meacham </t>
  </si>
  <si>
    <t>Oregon, Medford AP</t>
  </si>
  <si>
    <t>Oregon, North Bend</t>
  </si>
  <si>
    <t>Oregon, Pendleton AP</t>
  </si>
  <si>
    <t>Oregon, Portland AP</t>
  </si>
  <si>
    <t>Oregon, Portland CO</t>
  </si>
  <si>
    <t xml:space="preserve">Oregon, Redmond </t>
  </si>
  <si>
    <t>Oregon, Roseburg AP</t>
  </si>
  <si>
    <t>Oregon, Salem AP</t>
  </si>
  <si>
    <t>Oregon, Sexton Summit</t>
  </si>
  <si>
    <t>Oregon, The Dalles</t>
  </si>
  <si>
    <t>Pennsylvania, Allentown AP</t>
  </si>
  <si>
    <t>Pennsylvania, Altoona CO</t>
  </si>
  <si>
    <t xml:space="preserve">Pennsylvania, Bradford </t>
  </si>
  <si>
    <t xml:space="preserve">Pennsylvania, Butler </t>
  </si>
  <si>
    <t xml:space="preserve">Pennsylvania, Chambersburg </t>
  </si>
  <si>
    <t xml:space="preserve">Pennsylvania, DuBois </t>
  </si>
  <si>
    <t>Pennsylvania, Erie AP</t>
  </si>
  <si>
    <t>Pennsylvania, Harrisburg AP</t>
  </si>
  <si>
    <t xml:space="preserve">Pennsylvania, Johnstown </t>
  </si>
  <si>
    <t xml:space="preserve">Pennsylvania, Lancaster </t>
  </si>
  <si>
    <t xml:space="preserve">Pennsylvania, Meadville </t>
  </si>
  <si>
    <t>Pennsylvania, New Castle</t>
  </si>
  <si>
    <t>Pennsylvania, Philadelphia AP</t>
  </si>
  <si>
    <t>Pennsylvania, Philadelphia, Northeast AP</t>
  </si>
  <si>
    <t>Pennsylvania, Philadelphia, Willow Gr NAS</t>
  </si>
  <si>
    <t>Pennsylvania, Pittsburgh AP</t>
  </si>
  <si>
    <t>Pennsylvania, Pittsburgh, Allegheny AP</t>
  </si>
  <si>
    <t>Pennsylvania, Reading CO</t>
  </si>
  <si>
    <t xml:space="preserve">Pennsylvania, Scranton/Wilkes-Barre </t>
  </si>
  <si>
    <t>Pennsylvania, State College</t>
  </si>
  <si>
    <t xml:space="preserve">Pennsylvania, Sunbury </t>
  </si>
  <si>
    <t xml:space="preserve">Pennsylvania, Uniontown </t>
  </si>
  <si>
    <t xml:space="preserve">Pennsylvania, Warren </t>
  </si>
  <si>
    <t>Pennsylvania, West Chester</t>
  </si>
  <si>
    <t>Pennsylvania, Williamsport AP</t>
  </si>
  <si>
    <t xml:space="preserve">Pennsylvania, York </t>
  </si>
  <si>
    <t xml:space="preserve">Rhode Island, Newport </t>
  </si>
  <si>
    <t>Rhode Island, Providence AP</t>
  </si>
  <si>
    <t xml:space="preserve">South Carolina, Anderson </t>
  </si>
  <si>
    <t>South Carolina, Beaufort, MCAS</t>
  </si>
  <si>
    <t>South Carolina, Charleston AFB</t>
  </si>
  <si>
    <t>South Carolina, Charleston CO</t>
  </si>
  <si>
    <t>South Carolina, Columbia AP</t>
  </si>
  <si>
    <t>South Carolina, Florence AP</t>
  </si>
  <si>
    <t xml:space="preserve">South Carolina, Georgetown </t>
  </si>
  <si>
    <t>South Carolina, Greenville AP/Greer</t>
  </si>
  <si>
    <t xml:space="preserve">South Carolina, Greenwood </t>
  </si>
  <si>
    <t>South Carolina, Myrtle Beach, AFB</t>
  </si>
  <si>
    <t xml:space="preserve">South Carolina, Orangeburg </t>
  </si>
  <si>
    <t>South Carolina, Rock Hill</t>
  </si>
  <si>
    <t>South Carolina, Spartanburg AP</t>
  </si>
  <si>
    <t>South Carolina, Sumter-Shaw AFB</t>
  </si>
  <si>
    <t>South Dakota, Aberdeen AP</t>
  </si>
  <si>
    <t xml:space="preserve">South Dakota, Brookings </t>
  </si>
  <si>
    <t xml:space="preserve">South Dakota, Chamberlain </t>
  </si>
  <si>
    <t>South Dakota, Huron AP</t>
  </si>
  <si>
    <t xml:space="preserve">South Dakota, Mitchell </t>
  </si>
  <si>
    <t>South Dakota, Pierre AP</t>
  </si>
  <si>
    <t>South Dakota, Rapid City AP</t>
  </si>
  <si>
    <t>South Dakota, Sioux Falls AP</t>
  </si>
  <si>
    <t>South Dakota, Watertown AP</t>
  </si>
  <si>
    <t xml:space="preserve">South Dakota, Yankton </t>
  </si>
  <si>
    <t xml:space="preserve">Tennessee, Athens </t>
  </si>
  <si>
    <t>Tennessee, Bristol-Tri City AP</t>
  </si>
  <si>
    <t>Tennessee, Chattanooga AP</t>
  </si>
  <si>
    <t xml:space="preserve">Tennessee, Clarksville </t>
  </si>
  <si>
    <t xml:space="preserve">Tennessee, Columbia </t>
  </si>
  <si>
    <t xml:space="preserve">Tennessee, Crossville </t>
  </si>
  <si>
    <t xml:space="preserve">Tennessee, Dyersburg </t>
  </si>
  <si>
    <t xml:space="preserve">Tennessee, Greenville </t>
  </si>
  <si>
    <t>Tennessee, Jackson AP</t>
  </si>
  <si>
    <t>Tennessee, Knoxville AP</t>
  </si>
  <si>
    <t>Default heating season velocity = 15.0 MPH
Default cooling season velocity = 7.5 MPH
ELA4 value p provided by field test.</t>
  </si>
  <si>
    <r>
      <t>ICFM = ELA</t>
    </r>
    <r>
      <rPr>
        <sz val="6"/>
        <rFont val="Arial"/>
        <family val="2"/>
      </rPr>
      <t>4</t>
    </r>
    <r>
      <rPr>
        <sz val="7"/>
        <rFont val="Arial"/>
        <family val="2"/>
      </rPr>
      <t xml:space="preserve"> x ( Cs x TD + Cw x V</t>
    </r>
    <r>
      <rPr>
        <vertAlign val="superscript"/>
        <sz val="8"/>
        <rFont val="Arial"/>
        <family val="2"/>
      </rPr>
      <t>2</t>
    </r>
    <r>
      <rPr>
        <sz val="7"/>
        <rFont val="Arial"/>
        <family val="2"/>
      </rPr>
      <t xml:space="preserve"> ) </t>
    </r>
    <r>
      <rPr>
        <vertAlign val="superscript"/>
        <sz val="8"/>
        <rFont val="Arial"/>
        <family val="2"/>
      </rPr>
      <t>0.50</t>
    </r>
    <r>
      <rPr>
        <sz val="7"/>
        <rFont val="Arial"/>
        <family val="2"/>
      </rPr>
      <t xml:space="preserve"> </t>
    </r>
  </si>
  <si>
    <t>Part 2 -- Determine Door Infiltration Cfm</t>
  </si>
  <si>
    <t>Total ICFM</t>
  </si>
  <si>
    <t xml:space="preserve">7) Damper leakage Cfm typically ranges between 5% and 10% of the flow through an open damper. If this value is greater than the Cfm required for </t>
  </si>
  <si>
    <t xml:space="preserve">Georgia, Americus </t>
  </si>
  <si>
    <t xml:space="preserve">Georgia, Athens </t>
  </si>
  <si>
    <t>Georgia, Atlanta AP</t>
  </si>
  <si>
    <t>Georgia, Augusta AP</t>
  </si>
  <si>
    <t xml:space="preserve">Georgia, Brunswick </t>
  </si>
  <si>
    <t>Georgia, Columbus, Fort Benning</t>
  </si>
  <si>
    <t>Georgia, Columbus, Lawson AFB</t>
  </si>
  <si>
    <t>Georgia, Columbus, Metro AP</t>
  </si>
  <si>
    <t xml:space="preserve">Georgia, Dalton </t>
  </si>
  <si>
    <t xml:space="preserve">Georgia, Dublin </t>
  </si>
  <si>
    <t xml:space="preserve">Georgia, Gainesville </t>
  </si>
  <si>
    <t xml:space="preserve">Georgia, Griffin </t>
  </si>
  <si>
    <t>Georgia, La Grange</t>
  </si>
  <si>
    <t>Georgia, Macon AP</t>
  </si>
  <si>
    <t>Georgia, Marietta, Dobbins AFB</t>
  </si>
  <si>
    <t xml:space="preserve">Georgia, Moultrie </t>
  </si>
  <si>
    <t>Georgia, Rome AP</t>
  </si>
  <si>
    <t>Georgia, Savannah, Travis AP</t>
  </si>
  <si>
    <t>Georgia, Valdosta, Moody AFB</t>
  </si>
  <si>
    <t>Georgia, Valdosta, Regional AP</t>
  </si>
  <si>
    <t xml:space="preserve">Georgia, Waycross </t>
  </si>
  <si>
    <t>Hawaii, Ewa, Barbers Point NAS</t>
  </si>
  <si>
    <t>Hawaii, Hilo AP</t>
  </si>
  <si>
    <t>Hawaii, Honolulu AP</t>
  </si>
  <si>
    <t xml:space="preserve">Hawaii, Kahului </t>
  </si>
  <si>
    <t>Hawaii, Kaneohe Bay MCAS</t>
  </si>
  <si>
    <t xml:space="preserve">Hawaii, Lihue </t>
  </si>
  <si>
    <t xml:space="preserve">Hawaii, Molokai </t>
  </si>
  <si>
    <t xml:space="preserve">Hawaii, Wahaiwa </t>
  </si>
  <si>
    <t>Metal deck plus R-15 board, no ceiling</t>
  </si>
  <si>
    <t>22B-10pm</t>
  </si>
  <si>
    <t>Slab on grade, 2" Edge Insulation, Heavy Dry or Light Wet Soil</t>
  </si>
  <si>
    <t>Crawlspace Floor – Construction #19 (crawlspace is vented or leaky)</t>
  </si>
  <si>
    <t>CFMimb = (Air handler Supply Cfm + Other Supply Cfm) - (Air handler Return Cfm + Exhaust Cfm)</t>
  </si>
  <si>
    <t>No pressure adjustment required.</t>
  </si>
  <si>
    <t>CFMimb = (Air handler Return Cfm + Exhaust Cfm) - (Air handler Supply Cfm + Other Supply Cfm)</t>
  </si>
  <si>
    <t>NCFM = (ICFM^2- CFMimb^2 )^ 0.5</t>
  </si>
  <si>
    <t>NCFM = (ICFM^2+ CFMimb^2 ) ^0.5</t>
  </si>
  <si>
    <t>Sum of</t>
  </si>
  <si>
    <t>Net</t>
  </si>
  <si>
    <t>HTM (+)</t>
  </si>
  <si>
    <t>HTMs</t>
  </si>
  <si>
    <t>HTM for</t>
  </si>
  <si>
    <t>Load for</t>
  </si>
  <si>
    <t>Zero</t>
  </si>
  <si>
    <t>The estimated value for plenum temperature (PT) is correct if sum of HTMs = zero (range = ± 1.0)</t>
  </si>
  <si>
    <t>Part 4 -- Moisture Migration Load (Btuh)</t>
  </si>
  <si>
    <t>MML</t>
  </si>
  <si>
    <t>Part 1 -- Winter Humidification Heating Load (Btuh)</t>
  </si>
  <si>
    <t>Dry</t>
  </si>
  <si>
    <t>Bulb</t>
  </si>
  <si>
    <t>Relative</t>
  </si>
  <si>
    <t>Humidity</t>
  </si>
  <si>
    <t>Table 1 Values</t>
  </si>
  <si>
    <t>10A</t>
  </si>
  <si>
    <t>AC</t>
  </si>
  <si>
    <t>ODGR</t>
  </si>
  <si>
    <t>For Wrk DAC-3 when used</t>
  </si>
  <si>
    <t>For Wrk G or DAC-3</t>
  </si>
  <si>
    <t>Cavity below a roof and a conditioned space (DAC-3)</t>
  </si>
  <si>
    <t>Return air plenum below a roof and a conditioned space (RAP-3)</t>
  </si>
  <si>
    <t>* If the cooling Cfm is used year around, the heating ALF equals the cooling ALF.</t>
  </si>
  <si>
    <t>Draw Thru Blower</t>
  </si>
  <si>
    <t>Blow Thru Blower</t>
  </si>
  <si>
    <r>
      <t>►</t>
    </r>
    <r>
      <rPr>
        <b/>
        <sz val="8"/>
        <color indexed="8"/>
        <rFont val="Arial"/>
        <family val="2"/>
      </rPr>
      <t>Return to N1 Form</t>
    </r>
  </si>
  <si>
    <t>Code CFM</t>
  </si>
  <si>
    <t>CFM / Person</t>
  </si>
  <si>
    <t>Clg Sensible</t>
  </si>
  <si>
    <t>Clg Latent</t>
  </si>
  <si>
    <t>Part 3 -- Sensible and Latent Load for Office Equipment Loads (Btuh)</t>
  </si>
  <si>
    <t>Item</t>
  </si>
  <si>
    <t>Sensible Value = 3.413 x Item Watts or Item Btuh value from Table 6C      SG = N x DF x Sensible Value      SCL = SG x CLF      LCL = N x DF x Latent Value</t>
  </si>
  <si>
    <t>Either Watts or Btuh</t>
  </si>
  <si>
    <t>Percent duct system surface area in space</t>
  </si>
  <si>
    <t>Room</t>
  </si>
  <si>
    <t>Area Adjst</t>
  </si>
  <si>
    <t>for Slope</t>
  </si>
  <si>
    <t>for Horz</t>
  </si>
  <si>
    <t>Plane</t>
  </si>
  <si>
    <t>DF = 1.00</t>
  </si>
  <si>
    <t>Must be &gt; 0</t>
  </si>
  <si>
    <t>Portion</t>
  </si>
  <si>
    <t>Duty Cylce Calculator</t>
  </si>
  <si>
    <t>Or blank &amp; use DCF Calculator</t>
  </si>
  <si>
    <t>Copy DCF to Column T</t>
  </si>
  <si>
    <t>DCF from Calculator</t>
  </si>
  <si>
    <t>DCF form</t>
  </si>
  <si>
    <t>Cell</t>
  </si>
  <si>
    <t>R37</t>
  </si>
  <si>
    <t>Florida, Miami  CO</t>
  </si>
  <si>
    <t>Florida, Miami, New Tamiami AP</t>
  </si>
  <si>
    <t>Florida, Milton, Whiting Field NAS</t>
  </si>
  <si>
    <t xml:space="preserve">Florida, Ocala </t>
  </si>
  <si>
    <t>Florida, Orlando AP</t>
  </si>
  <si>
    <t>Florida, Panama City, Tyndall AFB</t>
  </si>
  <si>
    <t>Florida, Pensacola CO</t>
  </si>
  <si>
    <t>Florida, St. Augustine</t>
  </si>
  <si>
    <t>Florida, St. Petersburg</t>
  </si>
  <si>
    <t xml:space="preserve">Florida, Sanford </t>
  </si>
  <si>
    <t xml:space="preserve">Florida, Sarasota/Bradenton </t>
  </si>
  <si>
    <t>Florida, Tallahassee AP</t>
  </si>
  <si>
    <t>Florida, Tampa AP</t>
  </si>
  <si>
    <t>Florida, Valpariso, Eglin AFB</t>
  </si>
  <si>
    <t>5) Design Grains value for hour of interest = DGmo</t>
  </si>
  <si>
    <t>Coincident</t>
  </si>
  <si>
    <t xml:space="preserve">Design Grains value for month of year applies to all hours of day.
</t>
  </si>
  <si>
    <t>Outdoor Values</t>
  </si>
  <si>
    <t>Optional</t>
  </si>
  <si>
    <t>DF = 15.0</t>
  </si>
  <si>
    <t>%RH</t>
  </si>
  <si>
    <t>DF = 50</t>
  </si>
  <si>
    <t>Design Conditions for Heating</t>
  </si>
  <si>
    <t>DF = 7.5</t>
  </si>
  <si>
    <t>Index (%)</t>
  </si>
  <si>
    <r>
      <t xml:space="preserve">Mo </t>
    </r>
    <r>
      <rPr>
        <sz val="8"/>
        <rFont val="Arial"/>
        <family val="2"/>
      </rPr>
      <t>Δ</t>
    </r>
    <r>
      <rPr>
        <sz val="8"/>
        <rFont val="Arial"/>
        <family val="2"/>
      </rPr>
      <t>Grains</t>
    </r>
  </si>
  <si>
    <t>DR</t>
  </si>
  <si>
    <t>Load Time</t>
  </si>
  <si>
    <t>RJ2</t>
  </si>
  <si>
    <t>RJ5</t>
  </si>
  <si>
    <t>RJ6</t>
  </si>
  <si>
    <t>RJ8</t>
  </si>
  <si>
    <t>RJ13</t>
  </si>
  <si>
    <t>RJ15</t>
  </si>
  <si>
    <t>CF2</t>
  </si>
  <si>
    <t>CF3</t>
  </si>
  <si>
    <t>CF5</t>
  </si>
  <si>
    <t>CF7</t>
  </si>
  <si>
    <t>CF10</t>
  </si>
  <si>
    <t>CF13</t>
  </si>
  <si>
    <t>CF15</t>
  </si>
  <si>
    <t>Floors 20B</t>
  </si>
  <si>
    <t>Const. #</t>
  </si>
  <si>
    <t>16A</t>
  </si>
  <si>
    <t>16B</t>
  </si>
  <si>
    <t>16C</t>
  </si>
  <si>
    <t>16D</t>
  </si>
  <si>
    <t>16E</t>
  </si>
  <si>
    <t>16F</t>
  </si>
  <si>
    <t>City, State:</t>
  </si>
  <si>
    <t>L</t>
  </si>
  <si>
    <t>Zone</t>
  </si>
  <si>
    <t>of Day</t>
  </si>
  <si>
    <t>Jul &amp; Aug</t>
  </si>
  <si>
    <t>South</t>
  </si>
  <si>
    <t>Const. No.</t>
  </si>
  <si>
    <t>Description</t>
  </si>
  <si>
    <t>Group#</t>
  </si>
  <si>
    <t>Glass Information</t>
  </si>
  <si>
    <t>Doors Information</t>
  </si>
  <si>
    <t>Above Grade Walls Information</t>
  </si>
  <si>
    <t>Ceilings Information</t>
  </si>
  <si>
    <t>Floors Information</t>
  </si>
  <si>
    <t xml:space="preserve">Alaska, Gulkana </t>
  </si>
  <si>
    <t xml:space="preserve">Alaska, Homer </t>
  </si>
  <si>
    <t>Alaska, Juneau IAP</t>
  </si>
  <si>
    <t xml:space="preserve">Alaska, Kenai </t>
  </si>
  <si>
    <t>Alaska, Ketchikan IAP</t>
  </si>
  <si>
    <t>Alaska, King Salmon</t>
  </si>
  <si>
    <t xml:space="preserve">Alaska, Kodiak </t>
  </si>
  <si>
    <t xml:space="preserve">Alaska, Kotzebue </t>
  </si>
  <si>
    <t xml:space="preserve">Alaska, McGrath </t>
  </si>
  <si>
    <t>Alaska, Middleton Island</t>
  </si>
  <si>
    <t xml:space="preserve">Alaska, Nenana </t>
  </si>
  <si>
    <t>Alaska, Nome AP</t>
  </si>
  <si>
    <t xml:space="preserve">Alaska, Northway </t>
  </si>
  <si>
    <t>Alaska, Port Heiden</t>
  </si>
  <si>
    <t>Alaska, Saint Paul Island</t>
  </si>
  <si>
    <t xml:space="preserve">Alaska, Sitka </t>
  </si>
  <si>
    <t xml:space="preserve">Alaska, Talkeetna </t>
  </si>
  <si>
    <t xml:space="preserve">Alaska, Valdez </t>
  </si>
  <si>
    <t xml:space="preserve">Alaska, Yakutat </t>
  </si>
  <si>
    <t>Arizona, Douglas AP</t>
  </si>
  <si>
    <t>Arizona, Flagstaff Ap</t>
  </si>
  <si>
    <t>Arizona, Fort Huachuca AP</t>
  </si>
  <si>
    <t>Arizona, Kingman AP</t>
  </si>
  <si>
    <t xml:space="preserve">Arizona, Nogalas </t>
  </si>
  <si>
    <t xml:space="preserve">Arizona, Page </t>
  </si>
  <si>
    <t>Arizona, Phoenix AP</t>
  </si>
  <si>
    <t>Arizona, Phoenix, Luke AFB</t>
  </si>
  <si>
    <t>Arizona, Prescott AP</t>
  </si>
  <si>
    <t>Arizona, Safford, Agri. Center</t>
  </si>
  <si>
    <t>Arizona, Tuscon Ap</t>
  </si>
  <si>
    <t>Arizona, Winslow AP</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</si>
  <si>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</si>
  <si>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</si>
  <si>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</si>
  <si>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</si>
  <si>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</si>
  <si>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</si>
  <si>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</si>
  <si>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</si>
  <si>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</si>
  <si>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</si>
  <si>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</si>
  <si>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</si>
  <si>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</si>
  <si>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</si>
  <si>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</si>
  <si>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</si>
  <si>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</si>
  <si>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</si>
  <si>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</si>
  <si>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</si>
  <si>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</si>
  <si>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</si>
  <si>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</si>
  <si>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</si>
  <si>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</si>
  <si>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</si>
  <si>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</si>
  <si>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</si>
  <si>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</si>
  <si>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</si>
  <si>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Oregon</t>
  </si>
  <si>
    <t>Pennsylvania</t>
  </si>
  <si>
    <t>Rhode Island</t>
  </si>
  <si>
    <t>South Carolina</t>
  </si>
  <si>
    <t>South Dakota</t>
  </si>
  <si>
    <t>Tennessee</t>
  </si>
  <si>
    <t>Texas</t>
  </si>
  <si>
    <t>ACCA Manual N, 5th Edition, Abridged Version</t>
  </si>
  <si>
    <t xml:space="preserve"> *** Refer to the Notes Tab to verify the latest revision ***</t>
  </si>
  <si>
    <t>Excel are prerequisites for using this spreadsheet.</t>
  </si>
  <si>
    <t>templates to minimize data selection for future Manual N load calculations.</t>
  </si>
  <si>
    <t>Excel version 2000 or greater is recommended to utilize the full features of the spreadsheet.</t>
  </si>
  <si>
    <t>Microsoft Excel version 97 is the minimum requirement to use the spreadsheet but Microsoft</t>
  </si>
  <si>
    <t>ACCA System Design</t>
  </si>
  <si>
    <t>Please visit the website often to check for updates to the spreadsheet.  The most recent version</t>
  </si>
  <si>
    <t xml:space="preserve">Cordova </t>
  </si>
  <si>
    <t xml:space="preserve">Deadhorse </t>
  </si>
  <si>
    <t xml:space="preserve">Dillingham </t>
  </si>
  <si>
    <t>Fairbanks IAP</t>
  </si>
  <si>
    <t>Fairbanks, Eielson AFB</t>
  </si>
  <si>
    <t xml:space="preserve">Galena </t>
  </si>
  <si>
    <t xml:space="preserve">Gulkana </t>
  </si>
  <si>
    <t xml:space="preserve">Homer </t>
  </si>
  <si>
    <t>Juneau IAP</t>
  </si>
  <si>
    <t xml:space="preserve">Kenai </t>
  </si>
  <si>
    <t>Ketchikan IAP</t>
  </si>
  <si>
    <t>King Salmon</t>
  </si>
  <si>
    <t xml:space="preserve">Kodiak </t>
  </si>
  <si>
    <t xml:space="preserve">Kotzebue </t>
  </si>
  <si>
    <t xml:space="preserve">McGrath </t>
  </si>
  <si>
    <t>Middleton Island</t>
  </si>
  <si>
    <t xml:space="preserve">Nenana </t>
  </si>
  <si>
    <t>Nome AP</t>
  </si>
  <si>
    <t xml:space="preserve">Northway </t>
  </si>
  <si>
    <t>Port Heiden</t>
  </si>
  <si>
    <t>Saint Paul Island</t>
  </si>
  <si>
    <t xml:space="preserve">Sitka </t>
  </si>
  <si>
    <t xml:space="preserve">Talkeetna </t>
  </si>
  <si>
    <t xml:space="preserve">Valdez </t>
  </si>
  <si>
    <t xml:space="preserve">Yakutat </t>
  </si>
  <si>
    <t>Douglas AP</t>
  </si>
  <si>
    <t>Flagstaff Ap</t>
  </si>
  <si>
    <t>Fort Huachuca AP</t>
  </si>
  <si>
    <t>Kingman AP</t>
  </si>
  <si>
    <t xml:space="preserve">Nogalas </t>
  </si>
  <si>
    <t xml:space="preserve">Page </t>
  </si>
  <si>
    <t>Phoenix AP</t>
  </si>
  <si>
    <t>Phoenix, Luke AFB</t>
  </si>
  <si>
    <t>Prescott AP</t>
  </si>
  <si>
    <t>Safford, Agri. Center</t>
  </si>
  <si>
    <t>Tuscon Ap</t>
  </si>
  <si>
    <t>Winslow AP</t>
  </si>
  <si>
    <t>Yuma AP</t>
  </si>
  <si>
    <t>Blytheville AFB</t>
  </si>
  <si>
    <t xml:space="preserve">Camden </t>
  </si>
  <si>
    <t>El Dorado AP</t>
  </si>
  <si>
    <t>Fayetteville AP</t>
  </si>
  <si>
    <t>Fort Smith AP</t>
  </si>
  <si>
    <t>Hot Springs</t>
  </si>
  <si>
    <t>Jonesboro 262</t>
  </si>
  <si>
    <t>Little Rock AP</t>
  </si>
  <si>
    <t>Pine Bluff AP</t>
  </si>
  <si>
    <t>Texarkana AP</t>
  </si>
  <si>
    <t>Alameda, NAS</t>
  </si>
  <si>
    <t>Bakersfield AP</t>
  </si>
  <si>
    <t xml:space="preserve">Barstow </t>
  </si>
  <si>
    <t>Leakage Correction (LCF) for Sensible Gain</t>
  </si>
  <si>
    <t>Surface Area Adjustment (LGA) for Latent Gain</t>
  </si>
  <si>
    <t>Return side LGA = Actual return-side area / Default return-side area</t>
  </si>
  <si>
    <t>Procedure for Latent Gain Adjustment</t>
  </si>
  <si>
    <t>Step 1: Select the base case latent gain value (multiply by - 1.0 for negative Grains).</t>
  </si>
  <si>
    <t>Step 2: Apply leakage correction to the Step 1 value.</t>
  </si>
  <si>
    <t>Weighted average temperature = (DAC-1 CT x Floor area under roof + DAC-2 CT x Floor area under c-space) / Total floor area</t>
  </si>
  <si>
    <t>For DAC-2 heating the (CT - IAT) effect is ignored (the DAC-2 CT value equals indoor design temperature from Worksheet A).</t>
  </si>
  <si>
    <t>CT is the heat balance temperature for the dead air cavity (trial and error value).</t>
  </si>
  <si>
    <t>The estimated value for plenum temperature (CT) is correct if sum of HTMs = zero (range = ± 1.0).</t>
  </si>
  <si>
    <t>Floor  HTM = - Floor  U-Value x (CT - IDB)</t>
  </si>
  <si>
    <t>Adjusted CLTD = (Base CLTD + Lat/Mo Correction) x Color Factor + (OAT - 95) + (75 - CT) + DR Adjustment</t>
  </si>
  <si>
    <t>The estimated value for plenum temperature (CT) is correct if sum of HTMs = zero (range = ± 5.0).</t>
  </si>
  <si>
    <t>Roof HTM = - U-value x (CT - OAT)</t>
  </si>
  <si>
    <t>Ceiling HTM =  Ceiling U-Value x (IAT - CT)    ... Default IAT = 70 °F</t>
  </si>
  <si>
    <t xml:space="preserve">Ueff = UNFRC + Ucurb x ARcurb + Usft x ARsft </t>
  </si>
  <si>
    <t xml:space="preserve">Or with curb: Ueff = UNFRC + Usft x ARsft </t>
  </si>
  <si>
    <t>Ceiling HTM = - Ceiling U-Value x (PT - IAT); Ceiling PTDC = PT - IAT</t>
  </si>
  <si>
    <t>Other Loads = Other electric-mechanical gains to RA plenum</t>
  </si>
  <si>
    <t>Troffer in</t>
  </si>
  <si>
    <t>Weighted average plenum temp for cooling (°F)</t>
  </si>
  <si>
    <t>Weighted average plenum temp for heating (°F)</t>
  </si>
  <si>
    <t>For Wrk G1</t>
  </si>
  <si>
    <t>To simplify the heating procedure, the (PT - IAT) effect is ignored (Amb DB PT value equals indoor design temperature from Wroksheet A)..</t>
  </si>
  <si>
    <t>Worksheet DAC-3</t>
  </si>
  <si>
    <t>1) Determine the floor area for the space under the dead air cavity (part of this area will be under a roof and part will be under a conditioned space).</t>
  </si>
  <si>
    <t>DAC-1</t>
  </si>
  <si>
    <t>DAC-2</t>
  </si>
  <si>
    <t>Temp °F</t>
  </si>
  <si>
    <t>Plenum</t>
  </si>
  <si>
    <t>Weighted average Grains = (DAC-1 Grains x Floor area under roof + DAC-2 Grains x Floor area under c-space) / Total floor area</t>
  </si>
  <si>
    <t>BSGF = (8.333E-09 x Amb - 3.333E-07) x Floor Area + 4.755E-03 x Amb - 2.848E-01</t>
  </si>
  <si>
    <t>Supply location = Center of room ceilings</t>
  </si>
  <si>
    <t>BLG = (1.957E-02 x Amb + 1.241E-01) x Floor Area - 8.838E+00 x Amb - 5.988E+01</t>
  </si>
  <si>
    <t>BHLF = (-2.917-08 x Amb + 4.042E-06) x Floor Area - 2.063E-03 x Amb + 1.444E-01</t>
  </si>
  <si>
    <t>BSGF = (4.75E-08 x Amb - 2.600E-06) x Floor Area + 3.148E-03 x Amb - 1.986E-01</t>
  </si>
  <si>
    <t>7TC-1.5</t>
  </si>
  <si>
    <t>7TC-2.0</t>
  </si>
  <si>
    <t>BLG = (2.809E-02 x Amb + 1.968E-01) x Floor Area - 1.254E+01 x Amb - 1.076E+02</t>
  </si>
  <si>
    <t>Pounds material per Hour = Pounds of hygroscopic material flowing through the space per hour (or equivalent flow rate for non-continuous flow).
PHR = Pounds per Hour x (MCin - MCout)
Note: PRH may be positive (dehydration, moisture released to pace air) or negative (hydration, moisture absorbed from space air)
LCL = ± 1,050 x PHR      SCL = - Latent Load     (CLF for sensible gain = 1.0)</t>
  </si>
  <si>
    <t>&lt;-- 1 = yes; 0 = no</t>
  </si>
  <si>
    <t>Heat Balance for Heating</t>
  </si>
  <si>
    <t>Sensible cooling load to RA (Btuh) = -RA HTM x FA    … i.e, the  cooling load is positive.</t>
  </si>
  <si>
    <t xml:space="preserve">The return air load is a system load for Form N1, Line 15. </t>
  </si>
  <si>
    <t>Return Air HTM for Heating</t>
  </si>
  <si>
    <t>Heat balance heating = 0.0 ± 1.0</t>
  </si>
  <si>
    <t>RA HTM = 1.1 x ACF x ALF x (IAT - PT)</t>
  </si>
  <si>
    <t>na</t>
  </si>
  <si>
    <t>Heating load to RA (Btuh) = -Roof HTM x Roof Area    … i.e, the heating load is positive.</t>
  </si>
  <si>
    <t>Default Pump Load = 0.0100 x Grand Total Load    Default Pump Load for known or estimated head = PHF x Grand Total Load</t>
  </si>
  <si>
    <t>Area (SqFt)</t>
  </si>
  <si>
    <t>Steam to</t>
  </si>
  <si>
    <t>Space TD</t>
  </si>
  <si>
    <t>Steam</t>
  </si>
  <si>
    <t>Release</t>
  </si>
  <si>
    <t>(Lb / Hr)</t>
  </si>
  <si>
    <t>Metal, Fiberglass Core</t>
  </si>
  <si>
    <t>11J</t>
  </si>
  <si>
    <t>13CB-0fc</t>
  </si>
  <si>
    <t>USA and Canada 2-1/2% and 97-1/2%</t>
  </si>
  <si>
    <t>USA and Canada</t>
  </si>
  <si>
    <t>USA; Canada; MC for AR, CA, HI and NV</t>
  </si>
  <si>
    <t>Altitude Adjustment</t>
  </si>
  <si>
    <t>Protocol for design temperature value</t>
  </si>
  <si>
    <t>2-1/2% and 97-1/2% (superseded)</t>
  </si>
  <si>
    <t>1.0% and 99.0% (current)</t>
  </si>
  <si>
    <t xml:space="preserve">0.4, 1.0, 2.0 %; 99.6, 98.0, 99.0 % </t>
  </si>
  <si>
    <t>NFRC Rated and Labeled</t>
  </si>
  <si>
    <t>Generic</t>
  </si>
  <si>
    <t>1/4 Inch</t>
  </si>
  <si>
    <t>1/8 and 1/4 Inch</t>
  </si>
  <si>
    <t>Solar Affect (including OH shade line)</t>
  </si>
  <si>
    <t>Midsummer; 9 am; Noon; 3 pm and 6 pm</t>
  </si>
  <si>
    <t>12 Months and 24 Hours</t>
  </si>
  <si>
    <t>Vertical Glass Adjustments</t>
  </si>
  <si>
    <t>OH, IS, SS</t>
  </si>
  <si>
    <t>OH, IS, PA, S, SS</t>
  </si>
  <si>
    <t>OH, IS, PA, IS, SS, FR</t>
  </si>
  <si>
    <t>Skylight Adjustments</t>
  </si>
  <si>
    <t>Tilt angle</t>
  </si>
  <si>
    <t>Tilt angle, curb options, LS options, IS</t>
  </si>
  <si>
    <t>Opaque Surfaces</t>
  </si>
  <si>
    <t>Sensible</t>
  </si>
  <si>
    <t>Latent</t>
  </si>
  <si>
    <t>to RA</t>
  </si>
  <si>
    <t>Project Name</t>
  </si>
  <si>
    <t>Table 7-AMB</t>
  </si>
  <si>
    <t>Ambient Conditions for Duct Systems</t>
  </si>
  <si>
    <t>Location and Attributes</t>
  </si>
  <si>
    <t>Outdoors on</t>
  </si>
  <si>
    <t>Roof or Wall</t>
  </si>
  <si>
    <t>Reflective surface in sun</t>
  </si>
  <si>
    <t>White or light surface in sun</t>
  </si>
  <si>
    <t>Dark surface in sun</t>
  </si>
  <si>
    <t>Any surface in shade or facing North</t>
  </si>
  <si>
    <t>Santa Monica CO</t>
  </si>
  <si>
    <t>Santa Paula</t>
  </si>
  <si>
    <t>Santa Rosa</t>
  </si>
  <si>
    <t>Stockton AP</t>
  </si>
  <si>
    <t xml:space="preserve">Ukiah </t>
  </si>
  <si>
    <t>Victorville, George AFB</t>
  </si>
  <si>
    <t xml:space="preserve">Visalia </t>
  </si>
  <si>
    <t xml:space="preserve">Yreka </t>
  </si>
  <si>
    <t>Yuba City</t>
  </si>
  <si>
    <t>Alamosa AP</t>
  </si>
  <si>
    <t xml:space="preserve">Boulder </t>
  </si>
  <si>
    <t>Colarado Springs AP</t>
  </si>
  <si>
    <t xml:space="preserve">Craig </t>
  </si>
  <si>
    <t>Denver AP</t>
  </si>
  <si>
    <t xml:space="preserve">Durango </t>
  </si>
  <si>
    <t xml:space="preserve">Eagle </t>
  </si>
  <si>
    <t>Fort Collins</t>
  </si>
  <si>
    <t>Grand Junction AP</t>
  </si>
  <si>
    <t xml:space="preserve">Greeley </t>
  </si>
  <si>
    <t>LaJunta AP</t>
  </si>
  <si>
    <t xml:space="preserve">Leadville </t>
  </si>
  <si>
    <t xml:space="preserve">Limon </t>
  </si>
  <si>
    <t>Pueblo AP</t>
  </si>
  <si>
    <t xml:space="preserve">Sterling </t>
  </si>
  <si>
    <t>Trinidad AP</t>
  </si>
  <si>
    <t>Bridgeport AP</t>
  </si>
  <si>
    <t>Hartford, Brainard Field</t>
  </si>
  <si>
    <t>New Haven AP</t>
  </si>
  <si>
    <t>New London</t>
  </si>
  <si>
    <t xml:space="preserve">Norwich </t>
  </si>
  <si>
    <t xml:space="preserve">Waterbury </t>
  </si>
  <si>
    <t>Windsor Locks, Bradlet Field</t>
  </si>
  <si>
    <t>Dover AFB</t>
  </si>
  <si>
    <t>Wilmington AP</t>
  </si>
  <si>
    <t>Andrews AFB</t>
  </si>
  <si>
    <t>Reagan National AP</t>
  </si>
  <si>
    <t xml:space="preserve">Apalachicola </t>
  </si>
  <si>
    <t>Belle Glade</t>
  </si>
  <si>
    <t>Cape Kennedy AP</t>
  </si>
  <si>
    <t>Daytona Beach AP</t>
  </si>
  <si>
    <t>Fort Lauderdale</t>
  </si>
  <si>
    <t>Fort Myers AP</t>
  </si>
  <si>
    <t>Fort Pierce</t>
  </si>
  <si>
    <t>Gainsville AP</t>
  </si>
  <si>
    <t>Homestead, AFB</t>
  </si>
  <si>
    <t>Jacksonville AP</t>
  </si>
  <si>
    <t>Jacksonville/Cecil Field NAS</t>
  </si>
  <si>
    <t>Jacksonville, Mayport Naval</t>
  </si>
  <si>
    <t>Key West AP</t>
  </si>
  <si>
    <t>Lakeland CO</t>
  </si>
  <si>
    <t xml:space="preserve">Melbourne </t>
  </si>
  <si>
    <t>Miami AP</t>
  </si>
  <si>
    <t>Miami  CO</t>
  </si>
  <si>
    <t>Miami, New Tamiami AP</t>
  </si>
  <si>
    <t>Milton, Whiting Field NAS</t>
  </si>
  <si>
    <t xml:space="preserve">Ocala </t>
  </si>
  <si>
    <t>Orlando AP</t>
  </si>
  <si>
    <t>Panama City, Tyndall AFB</t>
  </si>
  <si>
    <t>Pensacola CO</t>
  </si>
  <si>
    <t>St. Augustine</t>
  </si>
  <si>
    <t>St. Petersburg</t>
  </si>
  <si>
    <t xml:space="preserve">Sanford </t>
  </si>
  <si>
    <t xml:space="preserve">Sarasota/Bradenton </t>
  </si>
  <si>
    <t>Tallahassee AP</t>
  </si>
  <si>
    <t>Tampa AP</t>
  </si>
  <si>
    <t>Valpariso, Eglin AFB</t>
  </si>
  <si>
    <t>Vero Beach</t>
  </si>
  <si>
    <t>West Palm Beach AP</t>
  </si>
  <si>
    <t>Albany, Turner</t>
  </si>
  <si>
    <t xml:space="preserve">Americus </t>
  </si>
  <si>
    <t>Atlanta AP</t>
  </si>
  <si>
    <t>Augusta AP</t>
  </si>
  <si>
    <t xml:space="preserve">Brunswick </t>
  </si>
  <si>
    <t>Columbus, Fort Benning</t>
  </si>
  <si>
    <t>Columbus, Lawson AFB</t>
  </si>
  <si>
    <t>Columbus, Metro AP</t>
  </si>
  <si>
    <t xml:space="preserve">Dalton </t>
  </si>
  <si>
    <t xml:space="preserve">Dublin </t>
  </si>
  <si>
    <t xml:space="preserve">Gainesville </t>
  </si>
  <si>
    <t xml:space="preserve">Griffin </t>
  </si>
  <si>
    <t>La Grange</t>
  </si>
  <si>
    <t>Macon AP</t>
  </si>
  <si>
    <t>Marietta, Dobbins AFB</t>
  </si>
  <si>
    <t xml:space="preserve">Moultrie </t>
  </si>
  <si>
    <t>Rome AP</t>
  </si>
  <si>
    <t>Savannah, Travis AP</t>
  </si>
  <si>
    <t>Valdosta, Moody AFB</t>
  </si>
  <si>
    <t>Valdosta, Regional AP</t>
  </si>
  <si>
    <t xml:space="preserve">Waycross </t>
  </si>
  <si>
    <t>Ewa, Barbers Point NAS</t>
  </si>
  <si>
    <t>Hilo AP</t>
  </si>
  <si>
    <t>Honolulu AP</t>
  </si>
  <si>
    <t xml:space="preserve">Kahului </t>
  </si>
  <si>
    <t>Kaneohe Bay MCAS</t>
  </si>
  <si>
    <t xml:space="preserve">Lihue </t>
  </si>
  <si>
    <t xml:space="preserve">Molokai </t>
  </si>
  <si>
    <t xml:space="preserve">Wahaiwa </t>
  </si>
  <si>
    <t>Boise AP</t>
  </si>
  <si>
    <t xml:space="preserve">Burley </t>
  </si>
  <si>
    <t>Coeur D’Alene AP</t>
  </si>
  <si>
    <t>Idaho Falls AP</t>
  </si>
  <si>
    <t xml:space="preserve">Kamiah </t>
  </si>
  <si>
    <t>Lewiston AP</t>
  </si>
  <si>
    <t xml:space="preserve">Moscow </t>
  </si>
  <si>
    <t>Mountain Home AFB</t>
  </si>
  <si>
    <t xml:space="preserve">Mullan </t>
  </si>
  <si>
    <t>Pocatello AP</t>
  </si>
  <si>
    <t>Twin Falls AP</t>
  </si>
  <si>
    <t xml:space="preserve">Aurora </t>
  </si>
  <si>
    <t>Belleville, Scott AFB</t>
  </si>
  <si>
    <t xml:space="preserve">Bloomington </t>
  </si>
  <si>
    <t>Project Name:</t>
  </si>
  <si>
    <t>Default Design Conditions</t>
  </si>
  <si>
    <t>Indoor Design</t>
  </si>
  <si>
    <t>Percent (1)</t>
  </si>
  <si>
    <t>Blue Canyon</t>
  </si>
  <si>
    <t>Blythe AP</t>
  </si>
  <si>
    <t>Burbank AP</t>
  </si>
  <si>
    <t xml:space="preserve">Chico </t>
  </si>
  <si>
    <t xml:space="preserve">Concord </t>
  </si>
  <si>
    <t xml:space="preserve">Covina </t>
  </si>
  <si>
    <t>Crescent City AP</t>
  </si>
  <si>
    <t xml:space="preserve">Downey </t>
  </si>
  <si>
    <t>El Cajon</t>
  </si>
  <si>
    <t>El Centro AP</t>
  </si>
  <si>
    <t xml:space="preserve">Escondido </t>
  </si>
  <si>
    <t>Eureaka/Arcata AP</t>
  </si>
  <si>
    <t>Fairfield-Travis AFB</t>
  </si>
  <si>
    <t>Fresno AP</t>
  </si>
  <si>
    <t>Hamiltion AFB</t>
  </si>
  <si>
    <t>Laguna Beach</t>
  </si>
  <si>
    <t>Lemoore, Reeves NAS</t>
  </si>
  <si>
    <t>Livermore 500</t>
  </si>
  <si>
    <t>Lompoc, Vandenburg AFB</t>
  </si>
  <si>
    <t>Los Angeles AP</t>
  </si>
  <si>
    <t>Los Angeles CO</t>
  </si>
  <si>
    <t>Marysville, Beale AFB</t>
  </si>
  <si>
    <t>Merced-Castle AFB</t>
  </si>
  <si>
    <t xml:space="preserve">Modesto </t>
  </si>
  <si>
    <t xml:space="preserve">Monterey </t>
  </si>
  <si>
    <t>Mount Shasta</t>
  </si>
  <si>
    <t>Mountain View, Moffet NAS</t>
  </si>
  <si>
    <t xml:space="preserve">Napa </t>
  </si>
  <si>
    <t>Needles AP</t>
  </si>
  <si>
    <t>Oakland AP</t>
  </si>
  <si>
    <t xml:space="preserve">Oceanside </t>
  </si>
  <si>
    <t>Ontario IAP</t>
  </si>
  <si>
    <t xml:space="preserve">Oxnard </t>
  </si>
  <si>
    <t>Palmdale AP</t>
  </si>
  <si>
    <t>Palm Springs</t>
  </si>
  <si>
    <t xml:space="preserve">Pasadena </t>
  </si>
  <si>
    <t>Paso Robles</t>
  </si>
  <si>
    <t xml:space="preserve">Petaluma </t>
  </si>
  <si>
    <t>Pomona CO</t>
  </si>
  <si>
    <t>Red Bluff</t>
  </si>
  <si>
    <r>
      <t>and</t>
    </r>
    <r>
      <rPr>
        <b/>
        <sz val="10"/>
        <rFont val="Tahoma"/>
        <family val="2"/>
      </rPr>
      <t xml:space="preserve"> VentilationI</t>
    </r>
    <r>
      <rPr>
        <sz val="10"/>
        <rFont val="Tahoma"/>
        <family val="2"/>
      </rPr>
      <t xml:space="preserve"> tabs.</t>
    </r>
  </si>
  <si>
    <t>To simplify the procedure for heating, there is no adjustment for lighting, floor and ceiling effects.</t>
  </si>
  <si>
    <t>Return Air Loads and Duct Loads for a Return Air Plenum Below a Conditioned Space</t>
  </si>
  <si>
    <t>(Tf )  °F</t>
  </si>
  <si>
    <t>Ta °F</t>
  </si>
  <si>
    <t>Actual Value</t>
  </si>
  <si>
    <t>Worksheet RAP-2 is used to evaluate the load to the return air flowing through the plenum and the load for duct runs in a return air plenum. Also see Table 7-AMB and Worksheet G.</t>
  </si>
  <si>
    <t>For cooling, there is a ceiling load for the room or space below the return air plenum and a floor load for the room or space above the return air plenum. The return air load for cooling is a system load (part of the total load on the central equipment).</t>
  </si>
  <si>
    <t>The ceiling HTM for cooling appears on Worksheet D, Construction 17C.</t>
  </si>
  <si>
    <t>Reno AP</t>
  </si>
  <si>
    <t>Reno CO</t>
  </si>
  <si>
    <t>Tonapah AP</t>
  </si>
  <si>
    <t>Winnemucca AP</t>
  </si>
  <si>
    <t xml:space="preserve">Berlin </t>
  </si>
  <si>
    <t xml:space="preserve">Claremont </t>
  </si>
  <si>
    <t>Concord AP</t>
  </si>
  <si>
    <t xml:space="preserve">Keene </t>
  </si>
  <si>
    <t xml:space="preserve">Laconia </t>
  </si>
  <si>
    <t xml:space="preserve">Lebanon </t>
  </si>
  <si>
    <t>Manchester, Grenier AFB</t>
  </si>
  <si>
    <t>Mount Washington</t>
  </si>
  <si>
    <t>Portsmouth, Pease AFB</t>
  </si>
  <si>
    <t>Atlantic City CO</t>
  </si>
  <si>
    <t>Long Branch</t>
  </si>
  <si>
    <t xml:space="preserve">Millville </t>
  </si>
  <si>
    <t>Newark AP</t>
  </si>
  <si>
    <t>New Brunswick</t>
  </si>
  <si>
    <t xml:space="preserve">Patterson </t>
  </si>
  <si>
    <t xml:space="preserve">Phillipsburg </t>
  </si>
  <si>
    <t xml:space="preserve">Teterboro </t>
  </si>
  <si>
    <t>Trenton, McQuire AFB</t>
  </si>
  <si>
    <t xml:space="preserve">Vineland </t>
  </si>
  <si>
    <t>Alamagordo Holloman AFB</t>
  </si>
  <si>
    <t>Albuquerque AP</t>
  </si>
  <si>
    <t xml:space="preserve">Artesia </t>
  </si>
  <si>
    <t>Carlsbad AP</t>
  </si>
  <si>
    <t xml:space="preserve">Clayton </t>
  </si>
  <si>
    <t>Clovis, Cannon AFB</t>
  </si>
  <si>
    <t>Floor areas of second and third levels (SqFt)</t>
  </si>
  <si>
    <t>Config.</t>
  </si>
  <si>
    <t xml:space="preserve">Jeffersonville </t>
  </si>
  <si>
    <t xml:space="preserve">Kokoma </t>
  </si>
  <si>
    <t xml:space="preserve">Layfayette </t>
  </si>
  <si>
    <t xml:space="preserve">LaPorte </t>
  </si>
  <si>
    <t xml:space="preserve">Muncie </t>
  </si>
  <si>
    <t>Peru, Bunker Hill AFB</t>
  </si>
  <si>
    <t>Peru, Grsssom AFB</t>
  </si>
  <si>
    <t>Richmond AP</t>
  </si>
  <si>
    <t xml:space="preserve">Shelbyville </t>
  </si>
  <si>
    <t>South Bend AP</t>
  </si>
  <si>
    <t>Terre Haute AP</t>
  </si>
  <si>
    <t xml:space="preserve">Valparaiso </t>
  </si>
  <si>
    <t xml:space="preserve">Vincennes </t>
  </si>
  <si>
    <t xml:space="preserve">Ames </t>
  </si>
  <si>
    <t>Burlington AP</t>
  </si>
  <si>
    <t>Cedar Rapids AP</t>
  </si>
  <si>
    <t xml:space="preserve">Clinton </t>
  </si>
  <si>
    <t>Council Bluffs</t>
  </si>
  <si>
    <t>Des Moines AP</t>
  </si>
  <si>
    <t xml:space="preserve">Debuque </t>
  </si>
  <si>
    <t>Fort Dodge</t>
  </si>
  <si>
    <t>Iowa City</t>
  </si>
  <si>
    <t xml:space="preserve">Keokuk </t>
  </si>
  <si>
    <t xml:space="preserve">Lamoni </t>
  </si>
  <si>
    <t xml:space="preserve">Marshalltown </t>
  </si>
  <si>
    <t>Mason City AP</t>
  </si>
  <si>
    <t xml:space="preserve">Newton </t>
  </si>
  <si>
    <t>Ottumwa AP</t>
  </si>
  <si>
    <t>Sioux City AP</t>
  </si>
  <si>
    <t xml:space="preserve">Spencer </t>
  </si>
  <si>
    <t xml:space="preserve">Waterloo </t>
  </si>
  <si>
    <t xml:space="preserve">Atchison </t>
  </si>
  <si>
    <t>Chante AP</t>
  </si>
  <si>
    <t xml:space="preserve">Concordia </t>
  </si>
  <si>
    <t>Dodge City AP</t>
  </si>
  <si>
    <t>El Dorado</t>
  </si>
  <si>
    <t xml:space="preserve">Emporia </t>
  </si>
  <si>
    <t>Garden City AP</t>
  </si>
  <si>
    <t>Goodland AP</t>
  </si>
  <si>
    <t>Great Bend</t>
  </si>
  <si>
    <t>Hutchinson AP</t>
  </si>
  <si>
    <t xml:space="preserve">Liberal </t>
  </si>
  <si>
    <t>Manhattan, Fort Riley</t>
  </si>
  <si>
    <t xml:space="preserve">Parsons </t>
  </si>
  <si>
    <t>Russel AP</t>
  </si>
  <si>
    <t xml:space="preserve">Salina </t>
  </si>
  <si>
    <t>Topeka AP</t>
  </si>
  <si>
    <t>Wichita AP</t>
  </si>
  <si>
    <t>Wichita, McConnell AFB</t>
  </si>
  <si>
    <t xml:space="preserve">Ashland </t>
  </si>
  <si>
    <t>Bowling Green AP</t>
  </si>
  <si>
    <t>Corbin AP</t>
  </si>
  <si>
    <t>Covington AP</t>
  </si>
  <si>
    <t>Fort Knox, Godman AAF</t>
  </si>
  <si>
    <t>Hopkinsville, Campbell AFB</t>
  </si>
  <si>
    <t xml:space="preserve">Jackson </t>
  </si>
  <si>
    <t>Lexington AP</t>
  </si>
  <si>
    <t>Louisville AP</t>
  </si>
  <si>
    <t xml:space="preserve">Madisonville </t>
  </si>
  <si>
    <t xml:space="preserve">Owensboro </t>
  </si>
  <si>
    <t>Paducah AP</t>
  </si>
  <si>
    <t>Alexandria AP</t>
  </si>
  <si>
    <t>Baton Rouge AP</t>
  </si>
  <si>
    <t xml:space="preserve">Bogalusa </t>
  </si>
  <si>
    <t>Bossier City, Barksdale AFB</t>
  </si>
  <si>
    <t xml:space="preserve">Houma </t>
  </si>
  <si>
    <t>Lafayette AP</t>
  </si>
  <si>
    <t>Lake Charles AP</t>
  </si>
  <si>
    <t>Leesville, Fort Polk</t>
  </si>
  <si>
    <t xml:space="preserve">Minden </t>
  </si>
  <si>
    <t>Monroe AP</t>
  </si>
  <si>
    <t xml:space="preserve">Natchitoches </t>
  </si>
  <si>
    <t>New Orleans AP</t>
  </si>
  <si>
    <t>Three stories or less (infiltration procedures do not evaluate high-rise stack effect for thermal envelope and elevator shafts).</t>
  </si>
  <si>
    <t>Foot Print Area</t>
  </si>
  <si>
    <t xml:space="preserve">No limit, providing the capabilities and sensitivities of the procedure are compatible with the attributes of the application. </t>
  </si>
  <si>
    <t>Yes (no guidance or discussion)</t>
  </si>
  <si>
    <t>Yes (discussion and some guidance)</t>
  </si>
  <si>
    <t>Yes (discussion and more guidance)</t>
  </si>
  <si>
    <t>Below Grade Walls and Floors</t>
  </si>
  <si>
    <t>Yes (minimal and out dated)</t>
  </si>
  <si>
    <t>Yes (current and extensive)</t>
  </si>
  <si>
    <t>Ceiling Cavity Used for Return Air plenum</t>
  </si>
  <si>
    <t>Yes (approximate defaults)</t>
  </si>
  <si>
    <t>Yes (heat balance procedure)</t>
  </si>
  <si>
    <t>HVAC Equipment and Systems</t>
  </si>
  <si>
    <t>Limit on Equipment Size</t>
  </si>
  <si>
    <t>Single Zone Equipment</t>
  </si>
  <si>
    <t>Yes (no guidance or examples)</t>
  </si>
  <si>
    <t>No (example for multiple 1-zone units)</t>
  </si>
  <si>
    <t>Yes (examples for multizone equipment)</t>
  </si>
  <si>
    <t>All Air Systems</t>
  </si>
  <si>
    <t>Yes (no procedure for fan heat)</t>
  </si>
  <si>
    <t>New Jersey, New Brunswick</t>
  </si>
  <si>
    <t xml:space="preserve">New Jersey, Patterson </t>
  </si>
  <si>
    <t xml:space="preserve">New Jersey, Phillipsburg </t>
  </si>
  <si>
    <t xml:space="preserve">New Jersey, Teterboro </t>
  </si>
  <si>
    <t>New Jersey, Trenton, McQuire AFB</t>
  </si>
  <si>
    <t xml:space="preserve">New Jersey, Vineland </t>
  </si>
  <si>
    <t>New Mexico, Alamagordo Holloman AFB</t>
  </si>
  <si>
    <t>New Mexico, Albuquerque AP</t>
  </si>
  <si>
    <t xml:space="preserve">New Mexico, Artesia </t>
  </si>
  <si>
    <t>New Mexico, Carlsbad AP</t>
  </si>
  <si>
    <t xml:space="preserve">New Mexico, Clayton </t>
  </si>
  <si>
    <t>New Mexico, Clovis, Cannon AFB</t>
  </si>
  <si>
    <t>New Mexico, Farmington AP</t>
  </si>
  <si>
    <t xml:space="preserve">New Mexico, Gallup </t>
  </si>
  <si>
    <t xml:space="preserve">New Mexico, Grants </t>
  </si>
  <si>
    <t>New Mexico, Hobbs AP</t>
  </si>
  <si>
    <t>New Mexico, Las Cruces</t>
  </si>
  <si>
    <t>New Mexico, Los Alamos</t>
  </si>
  <si>
    <t>New Mexico, Raton AP</t>
  </si>
  <si>
    <t>New Mexico, Roswell, Walker AFB</t>
  </si>
  <si>
    <t>New Mexico, Santa Fe CO</t>
  </si>
  <si>
    <t>New Mexico, Silver City AP</t>
  </si>
  <si>
    <t>New Mexico, Socorro AP</t>
  </si>
  <si>
    <t>New Mexico, Truth or Consequences</t>
  </si>
  <si>
    <t>New Mexico, Tucumcari AP</t>
  </si>
  <si>
    <t>New York, Albany AP</t>
  </si>
  <si>
    <t>New York, Albany CO</t>
  </si>
  <si>
    <t xml:space="preserve">New York, Auburn </t>
  </si>
  <si>
    <t xml:space="preserve">New York, Bafavia </t>
  </si>
  <si>
    <t>New York, Binghampton AP</t>
  </si>
  <si>
    <t>New York, Buffalo AP</t>
  </si>
  <si>
    <t>New York, Central Islip</t>
  </si>
  <si>
    <t xml:space="preserve">New York, Cortland </t>
  </si>
  <si>
    <t xml:space="preserve">New York, Dunkirk </t>
  </si>
  <si>
    <t>New York, Elmira AP</t>
  </si>
  <si>
    <t xml:space="preserve">New York, Geneva </t>
  </si>
  <si>
    <t>New York, Glens Falls</t>
  </si>
  <si>
    <t xml:space="preserve">New York, Gloversville </t>
  </si>
  <si>
    <t xml:space="preserve">New York, Hornell </t>
  </si>
  <si>
    <t xml:space="preserve">New York, Ithaca </t>
  </si>
  <si>
    <t>Worksheet I</t>
  </si>
  <si>
    <t>Ancillary Loads</t>
  </si>
  <si>
    <t>i</t>
  </si>
  <si>
    <t>j</t>
  </si>
  <si>
    <t>Heating calculations are made for the winter design temperature (OAT). No credit for heat gain from lighting or other electric-mechanical gains.</t>
  </si>
  <si>
    <t>(Required for Part 2B Calculations)</t>
  </si>
  <si>
    <t>Part 1 Line</t>
  </si>
  <si>
    <t>Use these lines to generate HTMN values for Table 3E-1 or for the HTMss equation.</t>
  </si>
  <si>
    <t>Part 1</t>
  </si>
  <si>
    <t>Uvalue</t>
  </si>
  <si>
    <t>HTMN</t>
  </si>
  <si>
    <t>Adjustment</t>
  </si>
  <si>
    <t>AHTMN</t>
  </si>
  <si>
    <t>Heat HTM = U x HTD</t>
  </si>
  <si>
    <t xml:space="preserve">Key Saver Worksheet (Floor Areas and Above Grade Volumes for Worksheet F) </t>
  </si>
  <si>
    <r>
      <t>Mandatory Input for Automated Infiltration Calculation!</t>
    </r>
    <r>
      <rPr>
        <sz val="8"/>
        <color indexed="10"/>
        <rFont val="Arial"/>
        <family val="2"/>
      </rPr>
      <t xml:space="preserve"> </t>
    </r>
  </si>
  <si>
    <t>Use procedure D ceiling area</t>
  </si>
  <si>
    <t>Use procedure D floor area</t>
  </si>
  <si>
    <t>C) User input for Floor Load</t>
  </si>
  <si>
    <t>for floor area of cond space</t>
  </si>
  <si>
    <t>Name of conditioned space</t>
  </si>
  <si>
    <t xml:space="preserve">Month: </t>
  </si>
  <si>
    <t xml:space="preserve">Hour: </t>
  </si>
  <si>
    <t>Location of duct runs:</t>
  </si>
  <si>
    <t>Worksheet E -- Internal Loads</t>
  </si>
  <si>
    <t>Space</t>
  </si>
  <si>
    <t>Part 1 -- Sensible Load for Lighting Fixtures (Btuh)</t>
  </si>
  <si>
    <t>Tbl 6A-10</t>
  </si>
  <si>
    <t>Roof Only or Roof Over Dead Air Cavity</t>
  </si>
  <si>
    <t>Roof Over Return Air Plenum</t>
  </si>
  <si>
    <t>Ceiling Under an Attic</t>
  </si>
  <si>
    <t>Yes (no sensitivity to important issues)</t>
  </si>
  <si>
    <t>Yes (sensitivity to roof material and color; and adjustment for use of radiant barrier)</t>
  </si>
  <si>
    <t>Ceiling Under a Return Air Plenum</t>
  </si>
  <si>
    <t>Plenum under a roof</t>
  </si>
  <si>
    <t>Plenum under a roof or a conditioned space</t>
  </si>
  <si>
    <t>Above Grade Walls</t>
  </si>
  <si>
    <t>Traditional commercial</t>
  </si>
  <si>
    <t>Improved traditional commercial and the entire MJ8 data base</t>
  </si>
  <si>
    <t>Over CCS, exposed, slab</t>
  </si>
  <si>
    <t>Over CCS, exposed, basement, slab</t>
  </si>
  <si>
    <t>Partitions</t>
  </si>
  <si>
    <t>Inadequate guidance for TD</t>
  </si>
  <si>
    <t>TD from heat balance procedure (general) or table for garage wall or ceiling</t>
  </si>
  <si>
    <t>Tightness Categories</t>
  </si>
  <si>
    <t>Tight, Average, Poor, Loose</t>
  </si>
  <si>
    <t xml:space="preserve">Texas, Plainview </t>
  </si>
  <si>
    <t>Texas, Port Arthur AP</t>
  </si>
  <si>
    <t>Texas, San Angelo, Goodfellow AFB</t>
  </si>
  <si>
    <t>Texas, San Antonio AP</t>
  </si>
  <si>
    <t>Texas, San Antonio, Kelly AFB</t>
  </si>
  <si>
    <t>Texas, San Antonio, Randolph AFB</t>
  </si>
  <si>
    <t xml:space="preserve">Texas, Sanderson </t>
  </si>
  <si>
    <t>Texas, Sherman-Perrin AFB</t>
  </si>
  <si>
    <t xml:space="preserve">Texas, Snyder </t>
  </si>
  <si>
    <t xml:space="preserve">Texas, Temple </t>
  </si>
  <si>
    <t>Texas, Tyler AP</t>
  </si>
  <si>
    <t xml:space="preserve">Texas, Vernon </t>
  </si>
  <si>
    <t>Texas, Victoria AP</t>
  </si>
  <si>
    <t>Texas, Waco AP</t>
  </si>
  <si>
    <t>Texas, Wichita Falls AP</t>
  </si>
  <si>
    <t>Utah, Cedar City AP</t>
  </si>
  <si>
    <t xml:space="preserve">Utah, Logan </t>
  </si>
  <si>
    <t xml:space="preserve">Utah, Moab </t>
  </si>
  <si>
    <t>Utah, Ogden, Hill AFB</t>
  </si>
  <si>
    <t xml:space="preserve">Utah, Price </t>
  </si>
  <si>
    <t xml:space="preserve">Utah, Provo </t>
  </si>
  <si>
    <t xml:space="preserve">Utah, Richfield </t>
  </si>
  <si>
    <t>Utah, St. George CO</t>
  </si>
  <si>
    <t>Utah, Salt Lake City AP</t>
  </si>
  <si>
    <t>Utah, Vernal AP</t>
  </si>
  <si>
    <t xml:space="preserve">Vermont, Barre </t>
  </si>
  <si>
    <t>Vermont, Burlington AP</t>
  </si>
  <si>
    <t>Vermont, Montpelier/ Barre</t>
  </si>
  <si>
    <t xml:space="preserve">Vermont, Rutland </t>
  </si>
  <si>
    <t xml:space="preserve">Virginia, Charlottsville </t>
  </si>
  <si>
    <t>Virginia, Danville AP</t>
  </si>
  <si>
    <t>7) Use the following form to calculate the weighted average return air loads for cooling and heating.</t>
  </si>
  <si>
    <t>California, Santa Rosa</t>
  </si>
  <si>
    <t>California, Stockton AP</t>
  </si>
  <si>
    <t xml:space="preserve">California, Ukiah </t>
  </si>
  <si>
    <t>California, Victorville, George AFB</t>
  </si>
  <si>
    <t xml:space="preserve">California, Visalia </t>
  </si>
  <si>
    <t xml:space="preserve">California, Yreka </t>
  </si>
  <si>
    <t>California, Yuba City</t>
  </si>
  <si>
    <t>Colorado, Alamosa AP</t>
  </si>
  <si>
    <t xml:space="preserve">Colorado, Boulder </t>
  </si>
  <si>
    <t>New Orleans, Lakefront AP</t>
  </si>
  <si>
    <t>Shreveport AP</t>
  </si>
  <si>
    <t>Bangor, Dow AFB</t>
  </si>
  <si>
    <t>Brunswick, NAS</t>
  </si>
  <si>
    <t>Caribou AP</t>
  </si>
  <si>
    <t xml:space="preserve">Lewiston </t>
  </si>
  <si>
    <t>Limestone, Loring AFB</t>
  </si>
  <si>
    <t>Millinocket AP</t>
  </si>
  <si>
    <t xml:space="preserve">Portland </t>
  </si>
  <si>
    <r>
      <t xml:space="preserve">ANSI/ASHRAE/ACCA Standard 183 </t>
    </r>
    <r>
      <rPr>
        <vertAlign val="superscript"/>
        <sz val="8"/>
        <rFont val="Arial"/>
        <family val="2"/>
      </rPr>
      <t>Note 1</t>
    </r>
  </si>
  <si>
    <r>
      <t xml:space="preserve">Zoning and Zoning Issues </t>
    </r>
    <r>
      <rPr>
        <vertAlign val="superscript"/>
        <sz val="8"/>
        <rFont val="Arial"/>
        <family val="2"/>
      </rPr>
      <t>Note 2</t>
    </r>
  </si>
  <si>
    <r>
      <t>Multizone Equipment</t>
    </r>
    <r>
      <rPr>
        <vertAlign val="superscript"/>
        <sz val="8"/>
        <rFont val="Arial"/>
        <family val="2"/>
      </rPr>
      <t xml:space="preserve"> Note 2</t>
    </r>
  </si>
  <si>
    <r>
      <t xml:space="preserve">Make-Up Air and Exhaust </t>
    </r>
    <r>
      <rPr>
        <vertAlign val="superscript"/>
        <sz val="8"/>
        <rFont val="Arial"/>
        <family val="2"/>
      </rPr>
      <t>Note 3</t>
    </r>
  </si>
  <si>
    <r>
      <t xml:space="preserve">Yes </t>
    </r>
    <r>
      <rPr>
        <vertAlign val="superscript"/>
        <sz val="8"/>
        <rFont val="Arial"/>
        <family val="2"/>
      </rPr>
      <t>Note 4</t>
    </r>
  </si>
  <si>
    <t>Protocol and equations for explicit dry-bulb temperature and ΔGrains moisture values</t>
  </si>
  <si>
    <t>Refer to Manual N Load Calculations for Low-Rise Commercial Buildings, Fifth Edition Version 1.xx</t>
  </si>
  <si>
    <t>Glass Database</t>
  </si>
  <si>
    <t>Enter construction numbers 1 thru 7 and 10 from tables 2A &amp; 2C</t>
  </si>
  <si>
    <t>Enter a description that corresponds to the construction number</t>
  </si>
  <si>
    <t>Enter the frame construction that corresponds to the construction number</t>
  </si>
  <si>
    <t>Enter construction numbers 8 and 9 from table 2A</t>
  </si>
  <si>
    <r>
      <t xml:space="preserve">Enter the </t>
    </r>
    <r>
      <rPr>
        <b/>
        <sz val="10"/>
        <rFont val="Arial"/>
        <family val="2"/>
      </rPr>
      <t>U-Value</t>
    </r>
    <r>
      <rPr>
        <sz val="10"/>
        <rFont val="Arial"/>
        <family val="2"/>
      </rPr>
      <t xml:space="preserve"> that corresponds to the construction number and frame type</t>
    </r>
  </si>
  <si>
    <r>
      <t xml:space="preserve">Enter the </t>
    </r>
    <r>
      <rPr>
        <b/>
        <sz val="10"/>
        <rFont val="Arial"/>
        <family val="2"/>
      </rPr>
      <t>SHGC</t>
    </r>
    <r>
      <rPr>
        <sz val="10"/>
        <rFont val="Arial"/>
        <family val="2"/>
      </rPr>
      <t xml:space="preserve"> that corresponds to the construction number and frame type</t>
    </r>
  </si>
  <si>
    <r>
      <t xml:space="preserve">Enter the </t>
    </r>
    <r>
      <rPr>
        <b/>
        <sz val="10"/>
        <rFont val="Arial"/>
        <family val="2"/>
      </rPr>
      <t>Ueff</t>
    </r>
    <r>
      <rPr>
        <sz val="10"/>
        <rFont val="Arial"/>
        <family val="2"/>
      </rPr>
      <t xml:space="preserve"> that corresponds to the construction number and frame type</t>
    </r>
  </si>
  <si>
    <r>
      <t xml:space="preserve">Enter the </t>
    </r>
    <r>
      <rPr>
        <b/>
        <sz val="10"/>
        <rFont val="Arial"/>
        <family val="2"/>
      </rPr>
      <t>U-Value</t>
    </r>
    <r>
      <rPr>
        <sz val="10"/>
        <rFont val="Arial"/>
        <family val="2"/>
      </rPr>
      <t xml:space="preserve"> that corresponds to the construction number</t>
    </r>
  </si>
  <si>
    <t>Enter construction number 11 from table 4A</t>
  </si>
  <si>
    <r>
      <t xml:space="preserve">Enter the </t>
    </r>
    <r>
      <rPr>
        <b/>
        <sz val="10"/>
        <rFont val="Arial"/>
        <family val="2"/>
      </rPr>
      <t>Group Code</t>
    </r>
    <r>
      <rPr>
        <sz val="10"/>
        <rFont val="Arial"/>
        <family val="2"/>
      </rPr>
      <t xml:space="preserve"> that corresponds to the construction number</t>
    </r>
  </si>
  <si>
    <t>Enter construction numbers 12 thru 15 from table 4A</t>
  </si>
  <si>
    <t>Enter construction numbers 16 thru 18 from table 4A</t>
  </si>
  <si>
    <t>Enter construction numbers 19 thru 22 from table 4A</t>
  </si>
  <si>
    <r>
      <t xml:space="preserve">Enter the </t>
    </r>
    <r>
      <rPr>
        <b/>
        <sz val="10"/>
        <rFont val="Arial"/>
        <family val="2"/>
      </rPr>
      <t>U-Value</t>
    </r>
    <r>
      <rPr>
        <sz val="10"/>
        <rFont val="Arial"/>
        <family val="2"/>
      </rPr>
      <t xml:space="preserve"> or </t>
    </r>
    <r>
      <rPr>
        <b/>
        <sz val="10"/>
        <rFont val="Arial"/>
        <family val="2"/>
      </rPr>
      <t>F-Value</t>
    </r>
    <r>
      <rPr>
        <sz val="10"/>
        <rFont val="Arial"/>
        <family val="2"/>
      </rPr>
      <t xml:space="preserve"> that corresponds to the construction number</t>
    </r>
  </si>
  <si>
    <r>
      <t xml:space="preserve">Enter the </t>
    </r>
    <r>
      <rPr>
        <b/>
        <sz val="10"/>
        <rFont val="Arial"/>
        <family val="2"/>
      </rPr>
      <t>PTDH</t>
    </r>
    <r>
      <rPr>
        <sz val="10"/>
        <rFont val="Arial"/>
        <family val="2"/>
      </rPr>
      <t xml:space="preserve"> if applicable that corresponds to the construction number</t>
    </r>
  </si>
  <si>
    <r>
      <t xml:space="preserve">Enter the </t>
    </r>
    <r>
      <rPr>
        <b/>
        <sz val="10"/>
        <rFont val="Arial"/>
        <family val="2"/>
      </rPr>
      <t xml:space="preserve">PTDC, CLTD </t>
    </r>
    <r>
      <rPr>
        <sz val="10"/>
        <rFont val="Arial"/>
        <family val="2"/>
      </rPr>
      <t>or</t>
    </r>
    <r>
      <rPr>
        <b/>
        <sz val="10"/>
        <rFont val="Arial"/>
        <family val="2"/>
      </rPr>
      <t xml:space="preserve"> Group Code</t>
    </r>
    <r>
      <rPr>
        <sz val="10"/>
        <rFont val="Arial"/>
        <family val="2"/>
      </rPr>
      <t xml:space="preserve"> if applicable that corresponds to the construction number</t>
    </r>
  </si>
  <si>
    <r>
      <t>Construction numbers 19 thru 21 uses U</t>
    </r>
    <r>
      <rPr>
        <b/>
        <sz val="10"/>
        <rFont val="Arial"/>
        <family val="2"/>
      </rPr>
      <t>-Value</t>
    </r>
  </si>
  <si>
    <r>
      <t xml:space="preserve">Construction number 22 uses </t>
    </r>
    <r>
      <rPr>
        <b/>
        <sz val="10"/>
        <rFont val="Arial"/>
        <family val="2"/>
      </rPr>
      <t>F-Value</t>
    </r>
  </si>
  <si>
    <t>Florida, Jacksonville/Cecil Field NAS</t>
  </si>
  <si>
    <t>Florida, Jacksonville, Mayport Naval</t>
  </si>
  <si>
    <t>Florida, Key West AP</t>
  </si>
  <si>
    <t>Florida, Lakeland CO</t>
  </si>
  <si>
    <t xml:space="preserve">Florida, Melbourne </t>
  </si>
  <si>
    <t>Florida, Miami AP</t>
  </si>
  <si>
    <t>Calculated CLTD</t>
  </si>
  <si>
    <t>6) Use the following form to calculate the weighted average plenum temperature for cooling and heating.</t>
  </si>
  <si>
    <t>D1</t>
  </si>
  <si>
    <t>D2</t>
  </si>
  <si>
    <t>Weighted average plenum temp for cooling</t>
  </si>
  <si>
    <t>Weighted average plenum temp for heating</t>
  </si>
  <si>
    <t>No ceiling or floor load for heating on Uorksheet D or lines 11 and 12 of Form N1. Use Worksheet RAP-3 to evaluate the return air load for heating (line 15 of Form N1).</t>
  </si>
  <si>
    <t>No internal shade = 1.0</t>
  </si>
  <si>
    <t>Blinds @ 45o = 1.175 x Table 3D-4 value</t>
  </si>
  <si>
    <t>R-shade @ ½ = 0.5 x (1.0 + 3D-4 value)</t>
  </si>
  <si>
    <t>Equipment</t>
  </si>
  <si>
    <r>
      <t xml:space="preserve">A thorough understanding of </t>
    </r>
    <r>
      <rPr>
        <b/>
        <sz val="10"/>
        <rFont val="Tahoma"/>
        <family val="2"/>
      </rPr>
      <t>N5 Part 1</t>
    </r>
    <r>
      <rPr>
        <i/>
        <sz val="10"/>
        <rFont val="Tahoma"/>
        <family val="2"/>
      </rPr>
      <t xml:space="preserve"> (Basic Manual N Procedures) </t>
    </r>
    <r>
      <rPr>
        <sz val="10"/>
        <rFont val="Tahoma"/>
        <family val="2"/>
      </rPr>
      <t>as well as a working knowledge of Microsoft</t>
    </r>
  </si>
  <si>
    <r>
      <t xml:space="preserve">To minimize data entry, this spreadsheet uses revised versions of the printed </t>
    </r>
    <r>
      <rPr>
        <b/>
        <sz val="10"/>
        <rFont val="Tahoma"/>
        <family val="2"/>
      </rPr>
      <t>N5ae</t>
    </r>
    <r>
      <rPr>
        <sz val="10"/>
        <rFont val="Tahoma"/>
        <family val="2"/>
      </rPr>
      <t xml:space="preserve"> worksheets.</t>
    </r>
  </si>
  <si>
    <r>
      <t>Welcome to the electronic spreadsheet version</t>
    </r>
    <r>
      <rPr>
        <sz val="10"/>
        <rFont val="Tahoma"/>
        <family val="2"/>
      </rPr>
      <t xml:space="preserve"> for the ACCA</t>
    </r>
  </si>
  <si>
    <r>
      <t xml:space="preserve">The tab labeled </t>
    </r>
    <r>
      <rPr>
        <b/>
        <sz val="10"/>
        <rFont val="Tahoma"/>
        <family val="2"/>
      </rPr>
      <t>Database</t>
    </r>
    <r>
      <rPr>
        <sz val="10"/>
        <rFont val="Tahoma"/>
        <family val="2"/>
      </rPr>
      <t xml:space="preserve"> must be populated with building component information that is commonly</t>
    </r>
  </si>
  <si>
    <t>used in your construction market.  This information will then be used as various lookup tables in the</t>
  </si>
  <si>
    <r>
      <t>GlassI, SkylightI, DoorI, WallI, CeilingI</t>
    </r>
    <r>
      <rPr>
        <sz val="10"/>
        <rFont val="Tahoma"/>
        <family val="2"/>
      </rPr>
      <t xml:space="preserve"> and </t>
    </r>
    <r>
      <rPr>
        <b/>
        <sz val="10"/>
        <rFont val="Tahoma"/>
        <family val="2"/>
      </rPr>
      <t>FloorI</t>
    </r>
    <r>
      <rPr>
        <sz val="10"/>
        <rFont val="Tahoma"/>
        <family val="2"/>
      </rPr>
      <t xml:space="preserve"> tabs.   Use the printed </t>
    </r>
    <r>
      <rPr>
        <b/>
        <sz val="10"/>
        <rFont val="Tahoma"/>
        <family val="2"/>
      </rPr>
      <t>N5</t>
    </r>
    <r>
      <rPr>
        <sz val="10"/>
        <rFont val="Tahoma"/>
        <family val="2"/>
      </rPr>
      <t xml:space="preserve"> book as the</t>
    </r>
  </si>
  <si>
    <t>information source for the required values.</t>
  </si>
  <si>
    <r>
      <t xml:space="preserve">Use the printed </t>
    </r>
    <r>
      <rPr>
        <b/>
        <sz val="10"/>
        <rFont val="Tahoma"/>
        <family val="2"/>
      </rPr>
      <t>N5</t>
    </r>
    <r>
      <rPr>
        <sz val="10"/>
        <rFont val="Tahoma"/>
        <family val="2"/>
      </rPr>
      <t xml:space="preserve"> manual for guidance to enter information into the </t>
    </r>
    <r>
      <rPr>
        <b/>
        <sz val="10"/>
        <rFont val="Tahoma"/>
        <family val="2"/>
      </rPr>
      <t>InternalI, DuctsI, InfiltrationI</t>
    </r>
  </si>
  <si>
    <r>
      <t xml:space="preserve">abridged version </t>
    </r>
    <r>
      <rPr>
        <b/>
        <sz val="10"/>
        <rFont val="Tahoma"/>
        <family val="2"/>
      </rPr>
      <t>(ae)</t>
    </r>
    <r>
      <rPr>
        <sz val="10"/>
        <rFont val="Tahoma"/>
        <family val="2"/>
      </rPr>
      <t xml:space="preserve"> of Manual N, 5th Edition </t>
    </r>
    <r>
      <rPr>
        <b/>
        <sz val="10"/>
        <rFont val="Tahoma"/>
        <family val="2"/>
      </rPr>
      <t>(N5)</t>
    </r>
    <r>
      <rPr>
        <sz val="10"/>
        <rFont val="Tahoma"/>
        <family val="2"/>
      </rPr>
      <t xml:space="preserve"> -- </t>
    </r>
    <r>
      <rPr>
        <i/>
        <sz val="10"/>
        <rFont val="Tahoma"/>
        <family val="2"/>
      </rPr>
      <t>Commercial Load Calculations</t>
    </r>
    <r>
      <rPr>
        <sz val="10"/>
        <rFont val="Tahoma"/>
        <family val="2"/>
      </rPr>
      <t>, 2008</t>
    </r>
  </si>
  <si>
    <t xml:space="preserve">We strongly suggest that you print out and read the instructions on using this electronic spreadsheet </t>
  </si>
  <si>
    <r>
      <t xml:space="preserve">that are contained in the following </t>
    </r>
    <r>
      <rPr>
        <b/>
        <sz val="10"/>
        <rFont val="Tahoma"/>
        <family val="2"/>
      </rPr>
      <t>Help</t>
    </r>
    <r>
      <rPr>
        <sz val="10"/>
        <rFont val="Tahoma"/>
        <family val="2"/>
      </rPr>
      <t xml:space="preserve"> tab.</t>
    </r>
  </si>
  <si>
    <t>Version N5ae 1.00 30JAN08</t>
  </si>
  <si>
    <t>Total office equipment loads for Form N1, Line 12c =</t>
  </si>
  <si>
    <t>Item
Table 6C</t>
  </si>
  <si>
    <t>Part 4 -- Sensible Load for Motors and Motor-Driven Equipment (Btuh)</t>
  </si>
  <si>
    <t>Use</t>
  </si>
  <si>
    <t>Duty</t>
  </si>
  <si>
    <t>Cycle</t>
  </si>
  <si>
    <t>(DCF)</t>
  </si>
  <si>
    <t>Power</t>
  </si>
  <si>
    <t>(DCP)</t>
  </si>
  <si>
    <t>Stored or</t>
  </si>
  <si>
    <t>Exported</t>
  </si>
  <si>
    <t>Energy</t>
  </si>
  <si>
    <t>(DCG)</t>
  </si>
  <si>
    <t>ALF = Line 14 Load / (FA x 1.1 x ACF x TD)</t>
  </si>
  <si>
    <t>for ALF</t>
  </si>
  <si>
    <t>Line 14 loads on Form N1</t>
  </si>
  <si>
    <t>Where: The load is Btuh of heating or sensible cooling and FA is the floor area of the space.</t>
  </si>
  <si>
    <t>SAT</t>
  </si>
  <si>
    <t>Indoor Temps Heating</t>
  </si>
  <si>
    <t>Indoor Temps Cooling</t>
  </si>
  <si>
    <t>Rate (PHR)</t>
  </si>
  <si>
    <t xml:space="preserve"> Lbs/Hr</t>
  </si>
  <si>
    <t>Moisture</t>
  </si>
  <si>
    <t>Leaving</t>
  </si>
  <si>
    <t>(MCout)</t>
  </si>
  <si>
    <t>RH of</t>
  </si>
  <si>
    <t>Content</t>
  </si>
  <si>
    <t>Entering</t>
  </si>
  <si>
    <t>(MCin)</t>
  </si>
  <si>
    <t>Pounds</t>
  </si>
  <si>
    <t>of Material</t>
  </si>
  <si>
    <t>per Hour</t>
  </si>
  <si>
    <t>Hygroscopic Item
Table 6J</t>
  </si>
  <si>
    <t>Total positive or negative load for Form N1, Line 12e =</t>
  </si>
  <si>
    <t>Part 12 - Hygroscopic Load or Regain for a Steady State Flow Hygroscopic Materials (Btuh)</t>
  </si>
  <si>
    <t>Table 4A</t>
  </si>
  <si>
    <t>1) The room or space infiltration load equals the block infiltration load multiplied by the gross wall area ratio (WAR).
2) WAR = Gross room or space wall area / Gross wall area for all rooms and spaces served by central equipment.</t>
  </si>
  <si>
    <t>Enid-Vance AFB</t>
  </si>
  <si>
    <t>Lawton AP</t>
  </si>
  <si>
    <t xml:space="preserve">McAlester </t>
  </si>
  <si>
    <t>Muskogee AP</t>
  </si>
  <si>
    <t>Norman 1181</t>
  </si>
  <si>
    <t>Oklahoma City AP</t>
  </si>
  <si>
    <t>Oklahoma City, W.Rogers AP</t>
  </si>
  <si>
    <t>Ponca City</t>
  </si>
  <si>
    <t xml:space="preserve">Seminole </t>
  </si>
  <si>
    <t xml:space="preserve">Stillwater </t>
  </si>
  <si>
    <t>Tulsa AP</t>
  </si>
  <si>
    <t xml:space="preserve">Woodward </t>
  </si>
  <si>
    <t xml:space="preserve">Albany </t>
  </si>
  <si>
    <t>Astoria AP</t>
  </si>
  <si>
    <t>Baker AP</t>
  </si>
  <si>
    <t xml:space="preserve">Bend </t>
  </si>
  <si>
    <t xml:space="preserve">Corvallis </t>
  </si>
  <si>
    <t>Eugene AP</t>
  </si>
  <si>
    <t>Vented attic with neutral color, high-mass roof (construction 16E)</t>
  </si>
  <si>
    <t>Vented attic with white, high-mass roof (construction 16F)</t>
  </si>
  <si>
    <t>Sealed Attic</t>
  </si>
  <si>
    <t>Any set of attributes listed above.</t>
  </si>
  <si>
    <t>See Dead Air Cavity</t>
  </si>
  <si>
    <t>Dead Air</t>
  </si>
  <si>
    <t>Cavity</t>
  </si>
  <si>
    <t>Note 3</t>
  </si>
  <si>
    <t>Return Air</t>
  </si>
  <si>
    <t>Yes (includes fan heat)</t>
  </si>
  <si>
    <t>Hot Water or Steam System</t>
  </si>
  <si>
    <t>No procedure for piping load</t>
  </si>
  <si>
    <t>Chilled Water System</t>
  </si>
  <si>
    <t>No procedure for piping and pump load</t>
  </si>
  <si>
    <t>Radiant Pipe or Elements in Floor</t>
  </si>
  <si>
    <t>No guidance (procedure is capable)</t>
  </si>
  <si>
    <t>Protocol and guidance provided</t>
  </si>
  <si>
    <t>Heat Recovery Equipment</t>
  </si>
  <si>
    <t>Winter Humidification Equipment</t>
  </si>
  <si>
    <t>Evaluation of Part Load Performance</t>
  </si>
  <si>
    <t>Climate</t>
  </si>
  <si>
    <t>Month of Year</t>
  </si>
  <si>
    <t>Midsummer</t>
  </si>
  <si>
    <t>12 Months</t>
  </si>
  <si>
    <t>Time of Day</t>
  </si>
  <si>
    <t>9 am; Noon; 3 pm and 6 pm</t>
  </si>
  <si>
    <t>24 Hours</t>
  </si>
  <si>
    <t>Locations</t>
  </si>
  <si>
    <t>(PHF)</t>
  </si>
  <si>
    <t>Table 11B</t>
  </si>
  <si>
    <t>BT &amp; RA</t>
  </si>
  <si>
    <t>DT</t>
  </si>
  <si>
    <t>Line 12e</t>
  </si>
  <si>
    <t>Space Load</t>
  </si>
  <si>
    <t>Line 14b</t>
  </si>
  <si>
    <t>Table or Field- Measured</t>
  </si>
  <si>
    <t>BT</t>
  </si>
  <si>
    <t xml:space="preserve">Blower or Pump Heat </t>
  </si>
  <si>
    <t>Tables 11A and 11B</t>
  </si>
  <si>
    <t>DT = Draw Through</t>
  </si>
  <si>
    <t xml:space="preserve">  &lt;  Cfm leaking through closed economizer damper or closed outdoor air damper (see note 7).</t>
  </si>
  <si>
    <t xml:space="preserve">  &lt;  Consider items 2 through 5 and specify a value that equals or exceeds the damper leakage Cfm.</t>
  </si>
  <si>
    <t>The ceiling and floor HTMs for cooling are absolute values (use a positive values).</t>
  </si>
  <si>
    <t>Const. No. and Expose Direction; or Ceiling Slope</t>
  </si>
  <si>
    <t>Adjusted CLTD for Doors (see Table 4A, Construction 11)</t>
  </si>
  <si>
    <t>Part 13 -- Internal Loads that Require Investigation</t>
  </si>
  <si>
    <t xml:space="preserve">Total equipment load for Form N1, Line 12e = </t>
  </si>
  <si>
    <t>&lt;- if negative, decrease PT; if positive, increase PT</t>
  </si>
  <si>
    <t>C9</t>
  </si>
  <si>
    <t>C12</t>
  </si>
  <si>
    <t>C15</t>
  </si>
  <si>
    <t>C18</t>
  </si>
  <si>
    <t>D9</t>
  </si>
  <si>
    <t>D12</t>
  </si>
  <si>
    <t>D15</t>
  </si>
  <si>
    <t>D18</t>
  </si>
  <si>
    <t>E9</t>
  </si>
  <si>
    <t>E12</t>
  </si>
  <si>
    <t>E15</t>
  </si>
  <si>
    <t>E18</t>
  </si>
  <si>
    <t>F9</t>
  </si>
  <si>
    <t>F12</t>
  </si>
  <si>
    <t>F15</t>
  </si>
  <si>
    <t>F18</t>
  </si>
  <si>
    <t>G9</t>
  </si>
  <si>
    <t>G12</t>
  </si>
  <si>
    <t>G15</t>
  </si>
  <si>
    <t>G18</t>
  </si>
  <si>
    <t>Weighted average temperature = (D1 Pt x Floor area under roof + D2 Pt x Floor area under c-space) / Total floor area</t>
  </si>
  <si>
    <r>
      <t>Step 5:</t>
    </r>
    <r>
      <rPr>
        <sz val="10"/>
        <rFont val="Arial"/>
        <family val="2"/>
      </rPr>
      <t xml:space="preserve"> From the </t>
    </r>
    <r>
      <rPr>
        <b/>
        <sz val="10"/>
        <rFont val="Arial"/>
        <family val="2"/>
      </rPr>
      <t>Form N1</t>
    </r>
    <r>
      <rPr>
        <sz val="10"/>
        <rFont val="Arial"/>
        <family val="2"/>
      </rPr>
      <t xml:space="preserve"> you can select the </t>
    </r>
    <r>
      <rPr>
        <b/>
        <sz val="10"/>
        <rFont val="Arial"/>
        <family val="2"/>
      </rPr>
      <t>Lookup</t>
    </r>
    <r>
      <rPr>
        <sz val="10"/>
        <rFont val="Arial"/>
        <family val="2"/>
      </rPr>
      <t xml:space="preserve"> hyperlink to go to the component input screen to select and enter your </t>
    </r>
  </si>
  <si>
    <r>
      <t>Step 6:</t>
    </r>
    <r>
      <rPr>
        <sz val="10"/>
        <rFont val="Arial"/>
        <family val="2"/>
      </rPr>
      <t xml:space="preserve"> Select </t>
    </r>
    <r>
      <rPr>
        <b/>
        <u/>
        <sz val="10"/>
        <rFont val="Arial"/>
        <family val="2"/>
      </rPr>
      <t>File</t>
    </r>
    <r>
      <rPr>
        <sz val="10"/>
        <rFont val="Arial"/>
        <family val="2"/>
      </rPr>
      <t xml:space="preserve"> and </t>
    </r>
    <r>
      <rPr>
        <b/>
        <u/>
        <sz val="10"/>
        <rFont val="Arial"/>
        <family val="2"/>
      </rPr>
      <t>Save As</t>
    </r>
    <r>
      <rPr>
        <sz val="10"/>
        <rFont val="Arial"/>
        <family val="2"/>
      </rPr>
      <t xml:space="preserve"> and replace the current file name with a unique file name for this load calculation.</t>
    </r>
  </si>
  <si>
    <t>calculations in the event to need to re-call the load calculation for review or revisions.</t>
  </si>
  <si>
    <t xml:space="preserve"> (Example: John Smith New Residence)  You may want to create a file folder on the hard drive to store your load </t>
  </si>
  <si>
    <t>(Example: MN5 Loads)</t>
  </si>
  <si>
    <t xml:space="preserve">Help Section </t>
  </si>
  <si>
    <t>California, Crescent City AP</t>
  </si>
  <si>
    <t xml:space="preserve">California, Downey </t>
  </si>
  <si>
    <t>North Carolina, Goldsboro, Seymour</t>
  </si>
  <si>
    <t>North Carolina, Goldsboro, Johnson AFB</t>
  </si>
  <si>
    <t>North Carolina, Greensboro AP</t>
  </si>
  <si>
    <t xml:space="preserve">North Carolina, Greenville </t>
  </si>
  <si>
    <t>Wisconsin, Madison AP</t>
  </si>
  <si>
    <t xml:space="preserve">Wisconsin, Manitowoc </t>
  </si>
  <si>
    <t xml:space="preserve">Wisconsin, Marinette </t>
  </si>
  <si>
    <t>Wisconsin, Milwaukee AP</t>
  </si>
  <si>
    <t xml:space="preserve">Wisconsin, Racine </t>
  </si>
  <si>
    <t xml:space="preserve">Wisconsin, Sheboygan </t>
  </si>
  <si>
    <t>Wisconsin, Stevens Point</t>
  </si>
  <si>
    <t xml:space="preserve">Wisconsin, Waukesha </t>
  </si>
  <si>
    <t>Wisconsin, Wausau AP</t>
  </si>
  <si>
    <t>Wyoming, Big Piney</t>
  </si>
  <si>
    <t>Wyoming, Casper AP</t>
  </si>
  <si>
    <t>Wyoming, Cheyene AP</t>
  </si>
  <si>
    <t>Wyoming, Cody AP</t>
  </si>
  <si>
    <t xml:space="preserve">Wyoming, Evanston </t>
  </si>
  <si>
    <t xml:space="preserve">Wyoming, Gillette </t>
  </si>
  <si>
    <t>Wyoming, Lander AP</t>
  </si>
  <si>
    <t>Wyoming, Laramie AP</t>
  </si>
  <si>
    <t xml:space="preserve">Wyoming, Newcastle </t>
  </si>
  <si>
    <t xml:space="preserve">Wyoming, Rawlins </t>
  </si>
  <si>
    <t>Wyoming, Rock Springs AP</t>
  </si>
  <si>
    <t>Wyoming, Sheridan AP</t>
  </si>
  <si>
    <t xml:space="preserve">Wyoming, Torrington </t>
  </si>
  <si>
    <t xml:space="preserve">Wyoming, Worland </t>
  </si>
  <si>
    <t>Alabama</t>
  </si>
  <si>
    <t>Alaska</t>
  </si>
  <si>
    <t>Arizona</t>
  </si>
  <si>
    <t>Arkansas</t>
  </si>
  <si>
    <t>Frame wall, Metal studs, R-11 cavity, wood sheathing, siding</t>
  </si>
  <si>
    <t>Walls Color Adjustment</t>
  </si>
  <si>
    <t>Dark</t>
  </si>
  <si>
    <t>White</t>
  </si>
  <si>
    <t xml:space="preserve">    practitioner shall decide how much makeup air is required for space pressure control.</t>
  </si>
  <si>
    <t>Ceiling and Floor Loads for This Scenerio</t>
  </si>
  <si>
    <t>Winston-Salem AP</t>
  </si>
  <si>
    <t>Devil’s Lake</t>
  </si>
  <si>
    <t>Dickinson AP</t>
  </si>
  <si>
    <t>Fargo AP</t>
  </si>
  <si>
    <t>Grands Forks AP</t>
  </si>
  <si>
    <t>Jamestown AP</t>
  </si>
  <si>
    <t>Minot AP</t>
  </si>
  <si>
    <t>Minot, AFB</t>
  </si>
  <si>
    <t xml:space="preserve">Williston </t>
  </si>
  <si>
    <t xml:space="preserve">Ada </t>
  </si>
  <si>
    <t xml:space="preserve">Ardmore </t>
  </si>
  <si>
    <t xml:space="preserve">Bartlesville </t>
  </si>
  <si>
    <t xml:space="preserve">Chickasha </t>
  </si>
  <si>
    <t>Latent
Value</t>
  </si>
  <si>
    <t>Plants</t>
  </si>
  <si>
    <t>Occupants &amp; Plants</t>
  </si>
  <si>
    <t>Blower Heat</t>
  </si>
  <si>
    <t>Blower Heat (Building Load)</t>
  </si>
  <si>
    <t>Blower Heat (Equipment Load)</t>
  </si>
  <si>
    <t>Square Feet</t>
  </si>
  <si>
    <t>AG Volume</t>
  </si>
  <si>
    <t>Partition Walls Information</t>
  </si>
  <si>
    <t>Skylights Data  (Table 2A, Construction Numbers 8-9)</t>
  </si>
  <si>
    <t>Glass Data  (Table 2A &amp; 2C, Construction Numbers 1-7,10)</t>
  </si>
  <si>
    <t>Doors Data  (Table 4A, Construction Number 11)</t>
  </si>
  <si>
    <t>Walls Data  (Table 4A, Construction Numbers 12-15)</t>
  </si>
  <si>
    <t>Ceilings Data  (Table 4A, Construction Numbers 16-18)</t>
  </si>
  <si>
    <t>Floors  (Table 4A, Construction Numbers 19-22)</t>
  </si>
  <si>
    <t>7) Use the following form to calculate the weighted average Grains for cooling.</t>
  </si>
  <si>
    <t>For Wrk D3, when used</t>
  </si>
  <si>
    <t>∆ Grains</t>
  </si>
  <si>
    <t>* The ALF for the duct table equals the default ALF or a value specified by the practitioner.</t>
  </si>
  <si>
    <t>AHR</t>
  </si>
  <si>
    <t>AHD</t>
  </si>
  <si>
    <t>Worksheet C
HTM Values for Skylights</t>
  </si>
  <si>
    <t>Heat Cfm</t>
  </si>
  <si>
    <t>Cool Cfm</t>
  </si>
  <si>
    <t>H-Cfm/ SF</t>
  </si>
  <si>
    <t>C-Cfm/SF</t>
  </si>
  <si>
    <t>Area (SF)</t>
  </si>
  <si>
    <t>Normal Use Door (Table 5F)</t>
  </si>
  <si>
    <t>Overhead Door (Table 5G)</t>
  </si>
  <si>
    <t>1) Heating HTM = U x HTD or U x PTDH;   Cooling HTM = U x Adjusted CLTD or U x PTDC</t>
  </si>
  <si>
    <t>Weighted average temperature = (RAP-1 PT x Floor area under roof + RAP-2 PT x Floor area under c-space) / Total floor area</t>
  </si>
  <si>
    <t>Item ID</t>
  </si>
  <si>
    <t>No insulation, wall insulation or wall and ceiling insulation</t>
  </si>
  <si>
    <t>Basement</t>
  </si>
  <si>
    <t>Under Slab</t>
  </si>
  <si>
    <t>Water proof duct runs under concrete slab</t>
  </si>
  <si>
    <t>Wall Cavity</t>
  </si>
  <si>
    <t xml:space="preserve">Riser or drop in wall cavity or chase that has a hostile ambient </t>
  </si>
  <si>
    <t xml:space="preserve">Total Occ = </t>
  </si>
  <si>
    <t xml:space="preserve">Default AH Supply Cfm = </t>
  </si>
  <si>
    <t>Btuh to</t>
  </si>
  <si>
    <t>Longview 365</t>
  </si>
  <si>
    <t>Lubbock AP</t>
  </si>
  <si>
    <t>Lubbock, Reese AFB</t>
  </si>
  <si>
    <t>Lufkin AP</t>
  </si>
  <si>
    <t xml:space="preserve">Marfa </t>
  </si>
  <si>
    <t xml:space="preserve">McAllen </t>
  </si>
  <si>
    <t>Midland AP</t>
  </si>
  <si>
    <t>Mineral Wells AP</t>
  </si>
  <si>
    <t>Palestine CO</t>
  </si>
  <si>
    <t xml:space="preserve">Pampa </t>
  </si>
  <si>
    <t xml:space="preserve">Pecos </t>
  </si>
  <si>
    <t xml:space="preserve">Plainview </t>
  </si>
  <si>
    <t>Port Arthur AP</t>
  </si>
  <si>
    <t>San Angelo, Goodfellow AFB</t>
  </si>
  <si>
    <t>San Antonio AP</t>
  </si>
  <si>
    <t>San Antonio, Kelly AFB</t>
  </si>
  <si>
    <t xml:space="preserve">Illinois, Rockford </t>
  </si>
  <si>
    <t>Illinois, Springfield AP</t>
  </si>
  <si>
    <t xml:space="preserve">Illinois, Waukegan </t>
  </si>
  <si>
    <t>Illinois, West Chicago</t>
  </si>
  <si>
    <t xml:space="preserve">Indiana, Anderson </t>
  </si>
  <si>
    <t xml:space="preserve">Indiana, Bedford </t>
  </si>
  <si>
    <t xml:space="preserve">Indiana, Bloomington </t>
  </si>
  <si>
    <t>Indiana, Columbus, Bakalar AFB</t>
  </si>
  <si>
    <t xml:space="preserve">Indiana, Crawfordsville </t>
  </si>
  <si>
    <t>Indiana, Evansville AP</t>
  </si>
  <si>
    <t>Indiana, Fort Wayne AP</t>
  </si>
  <si>
    <t>Indiana, Goshen AP</t>
  </si>
  <si>
    <t xml:space="preserve">Indiana, Hobart </t>
  </si>
  <si>
    <t xml:space="preserve">Indiana, Huntington </t>
  </si>
  <si>
    <t>Indiana, Indianapolis AP (S)</t>
  </si>
  <si>
    <t xml:space="preserve">Indiana, Jeffersonville </t>
  </si>
  <si>
    <t xml:space="preserve">Indiana, Kokoma </t>
  </si>
  <si>
    <t xml:space="preserve">Indiana, Layfayette </t>
  </si>
  <si>
    <t xml:space="preserve">Indiana, LaPorte </t>
  </si>
  <si>
    <t xml:space="preserve">Indiana, Marion </t>
  </si>
  <si>
    <t xml:space="preserve">Indiana, Muncie </t>
  </si>
  <si>
    <t>Indiana, Peru, Bunker Hill AFB</t>
  </si>
  <si>
    <t>Massachusetts, Worcester AP</t>
  </si>
  <si>
    <t>Michigan, Adrian 798</t>
  </si>
  <si>
    <t>Michigan, Alpena AP</t>
  </si>
  <si>
    <t>Code</t>
  </si>
  <si>
    <t>4 inch concrete wall, Metal studs, R-11 cavity</t>
  </si>
  <si>
    <t>Construction Number &amp; Description</t>
  </si>
  <si>
    <t>OAT = Midsummer design temperature for city (Table 1 or alternative value);  IAT = Indoor design dry bulb for midsummer (default = 75 ºF)</t>
  </si>
  <si>
    <t>100x</t>
  </si>
  <si>
    <t>PT is the heat balance temperature for the plenum (trial and error value).</t>
  </si>
  <si>
    <t>Roof HTM for Cooling</t>
  </si>
  <si>
    <t xml:space="preserve">Table 4A; Item 17C </t>
  </si>
  <si>
    <t>T4A-17D</t>
  </si>
  <si>
    <t>Default Value</t>
  </si>
  <si>
    <t>Fan and Pump Load (Btuh)</t>
  </si>
  <si>
    <t>PHF</t>
  </si>
  <si>
    <t>Shade Line Multipliers</t>
  </si>
  <si>
    <t>Heigth</t>
  </si>
  <si>
    <t>Ft</t>
  </si>
  <si>
    <t>In</t>
  </si>
  <si>
    <t>X</t>
  </si>
  <si>
    <t>Y</t>
  </si>
  <si>
    <t>Distance</t>
  </si>
  <si>
    <t>X = Overhang</t>
  </si>
  <si>
    <t>Y = Top of</t>
  </si>
  <si>
    <t>Opening to</t>
  </si>
  <si>
    <t>Alabama, Alexander City</t>
  </si>
  <si>
    <t>Alabama, Anniston AP</t>
  </si>
  <si>
    <t xml:space="preserve">Alabama, Auburn </t>
  </si>
  <si>
    <t>Alabama, Birmingham AP</t>
  </si>
  <si>
    <t xml:space="preserve">Alabama, Decatur </t>
  </si>
  <si>
    <t>Alabama, Dothan AP</t>
  </si>
  <si>
    <t>Alabama, Florence AP</t>
  </si>
  <si>
    <t xml:space="preserve">Alabama, Gadsden </t>
  </si>
  <si>
    <t>Alabama, Huntsville AP</t>
  </si>
  <si>
    <t>Alabama, Mobile AP</t>
  </si>
  <si>
    <t>Alabama, Mobile CO</t>
  </si>
  <si>
    <t>Alabama, Montgomery AP</t>
  </si>
  <si>
    <t>Lander AP</t>
  </si>
  <si>
    <t>Laramie AP</t>
  </si>
  <si>
    <t xml:space="preserve">Newcastle </t>
  </si>
  <si>
    <t xml:space="preserve">Rawlins </t>
  </si>
  <si>
    <t>Rock Springs AP</t>
  </si>
  <si>
    <t>Sheridan AP</t>
  </si>
  <si>
    <t xml:space="preserve">Torrington </t>
  </si>
  <si>
    <t xml:space="preserve">Worland </t>
  </si>
  <si>
    <t>Type of Load</t>
  </si>
  <si>
    <t>FixtureWatts</t>
  </si>
  <si>
    <t xml:space="preserve">Office Equipment </t>
  </si>
  <si>
    <t>Wood &amp; Metal Doors</t>
  </si>
  <si>
    <r>
      <t>►</t>
    </r>
    <r>
      <rPr>
        <b/>
        <sz val="8"/>
        <color indexed="8"/>
        <rFont val="Arial"/>
        <family val="2"/>
      </rPr>
      <t xml:space="preserve"> Lookup</t>
    </r>
  </si>
  <si>
    <t>Ceiling HTM = Ceiling U-Value x  Ceiling PTDC        Where: Ceiling PTDC = PT - IAT</t>
  </si>
  <si>
    <t>H9</t>
  </si>
  <si>
    <t>H12</t>
  </si>
  <si>
    <t>H15</t>
  </si>
  <si>
    <t>H18</t>
  </si>
  <si>
    <t>Virginia, Fort Belvoir</t>
  </si>
  <si>
    <t xml:space="preserve">Virginia, Fredricksburg </t>
  </si>
  <si>
    <t>Virginia, Hampton, Langley AFB</t>
  </si>
  <si>
    <t xml:space="preserve">Virginia, Harrisonburg </t>
  </si>
  <si>
    <t>Virginia, Lynchburg AP</t>
  </si>
  <si>
    <t>Overhang</t>
  </si>
  <si>
    <t>No</t>
  </si>
  <si>
    <t>Yes</t>
  </si>
  <si>
    <t>Provide line input for general purpose (GP) glass or commercial use (CU) glass (either, or). For NFRC glass, ignore line input for GP glass and CU glass.
See Table 2A for GP glass or Table 3C for CU glass (Construction 8 for flat glazing or Construction 9 for dome glazing).</t>
  </si>
  <si>
    <t>Actual U-value = 1 / Actual Total R-value</t>
  </si>
  <si>
    <t>ARshaft = Ashaft / Apanel</t>
  </si>
  <si>
    <t xml:space="preserve">For CU: Ueff = Upanel + Ucurb x ARcurb + Usft x ARsft </t>
  </si>
  <si>
    <t>If NFRC Rating does not include curb:</t>
  </si>
  <si>
    <t>PTDC</t>
  </si>
  <si>
    <t>PTDH and TPDC from heat balance calc, or see Table 4C</t>
  </si>
  <si>
    <t>←</t>
  </si>
  <si>
    <t>OD = Outdoor
ID = Indoor
DB = Dry Bulb (°F)</t>
  </si>
  <si>
    <t>Mo / Lat</t>
  </si>
  <si>
    <t>HTD or</t>
  </si>
  <si>
    <t>Blank for</t>
  </si>
  <si>
    <t>RA Ceiling</t>
  </si>
  <si>
    <t>RAP-1</t>
  </si>
  <si>
    <t>RAP-2</t>
  </si>
  <si>
    <t>Below a roof (DAC-1)</t>
  </si>
  <si>
    <t>Below a conditioned space (DAC-2)</t>
  </si>
  <si>
    <t>* For duct routed through multiple locations, use Worksheet G for Space 2; Space 3 and Space 4 (see also, Section 9.16)</t>
  </si>
  <si>
    <t>* For ambient conditions, see the Tbl 7-AMB tab.</t>
  </si>
  <si>
    <t>Floor  HTM = - Floor  U-Value x (PT - IDB); Floor PTDC = PT - IDB</t>
  </si>
  <si>
    <t>Adjusted CLTD for Walls (see Table 4B, CLTD Adjustment for Exposed Walls)</t>
  </si>
  <si>
    <t>CLTD Adjustments</t>
  </si>
  <si>
    <t>Worksheet F -- Infiltration Loads</t>
  </si>
  <si>
    <t>D Grains</t>
  </si>
  <si>
    <t xml:space="preserve">Total floor area = </t>
  </si>
  <si>
    <t>Standing</t>
  </si>
  <si>
    <t>Standing, light work</t>
  </si>
  <si>
    <t>Standing, some movement</t>
  </si>
  <si>
    <t>Seated, bar or conference room</t>
  </si>
  <si>
    <t>Seated, eating a meal</t>
  </si>
  <si>
    <t>Activity</t>
  </si>
  <si>
    <t>Sens.</t>
  </si>
  <si>
    <t>BTUH</t>
  </si>
  <si>
    <t>Blower Load</t>
  </si>
  <si>
    <t>Return Fan</t>
  </si>
  <si>
    <t>Air Changes/Hour</t>
  </si>
  <si>
    <t>Location</t>
  </si>
  <si>
    <t>99%db</t>
  </si>
  <si>
    <t>Drape @ ½ = 0.5 x (1.0 + 3D-4 value)</t>
  </si>
  <si>
    <t>Insect screen adjustment:</t>
  </si>
  <si>
    <t xml:space="preserve">       Full</t>
  </si>
  <si>
    <t>Note:  EHLF, ESGF and ELG are zero for a return air ceiling plenum. Use Worksheet RAP-1 or RAP-2 to evaluate the return    air load for heating and sensible cooling.</t>
  </si>
  <si>
    <t>Airway shape and configuration</t>
  </si>
  <si>
    <t>Indoor Conditions</t>
  </si>
  <si>
    <t xml:space="preserve">Month 3 pm OD Dsn = </t>
  </si>
  <si>
    <t>Midsummer 3 pm</t>
  </si>
  <si>
    <t>Lab animal room</t>
  </si>
  <si>
    <t>Stores and malls</t>
  </si>
  <si>
    <t>Mall area</t>
  </si>
  <si>
    <t>Motel or dorm room</t>
  </si>
  <si>
    <t>Shoping and sales areas</t>
  </si>
  <si>
    <t>Cfm / Per = 15, 20 or 30, see Table 8</t>
  </si>
  <si>
    <t>Print / Duplicating; Dark room</t>
  </si>
  <si>
    <t>Skating rink</t>
  </si>
  <si>
    <t>Swmming pool and deck area</t>
  </si>
  <si>
    <t>Swmming pool spectator area - see Table 8</t>
  </si>
  <si>
    <t>Pet shop or kennel</t>
  </si>
  <si>
    <t>Wearhouse</t>
  </si>
  <si>
    <t>Living Spaces</t>
  </si>
  <si>
    <t>Applications</t>
  </si>
  <si>
    <t>Total Space CFM =</t>
  </si>
  <si>
    <t>or a ventilation dehumidifier, CFMdish is provided by manufacturer's performance data.</t>
  </si>
  <si>
    <t>1) Ventilation Cfm is typically the same for heating and cooling, but two values may be used. For no ventilating dehumidifer, use VCFM from line 4.</t>
  </si>
  <si>
    <t xml:space="preserve">2) Sensible effectiveness ratings (SERloss, SERgain) and latent effectiveness rating (LER) provided by manufacturer’s engineering data. For </t>
  </si>
  <si>
    <t>sensible-only equipment, LER = 0.</t>
  </si>
  <si>
    <t>SG = N x DF x Sensible Value      SCL = SG x CLF      LCL = N x DF x Latent Value</t>
  </si>
  <si>
    <t>SF</t>
  </si>
  <si>
    <t>CLTD Adjustment</t>
  </si>
  <si>
    <t>Construction Number 19 (Over Enclosed Space) &amp; Description</t>
  </si>
  <si>
    <t>Construction Number 20A (Light Weight Over Open Space) &amp; Description</t>
  </si>
  <si>
    <t>Construction Number 20B (Commercial Over Open Space) &amp; Description</t>
  </si>
  <si>
    <t>No Wall Insulation, Vented Crawlspace, No Floor Insulation, Carpet</t>
  </si>
  <si>
    <t>20AP-19</t>
  </si>
  <si>
    <t>Light Weight, Open Crawlspace, R-19 Floor Insulation</t>
  </si>
  <si>
    <t>20BP-3CF-19</t>
  </si>
  <si>
    <t>3" Cement-Fiber Slab, R-19 Blanket below Floor</t>
  </si>
  <si>
    <t>Basement, R-0</t>
  </si>
  <si>
    <t>Slab on Grade, No Edge Insulation, Light Wet Soil</t>
  </si>
  <si>
    <t>Apartments</t>
  </si>
  <si>
    <t>Arcades</t>
  </si>
  <si>
    <t>CFM / SqFT</t>
  </si>
  <si>
    <t>No. Rooms</t>
  </si>
  <si>
    <t>Garages</t>
  </si>
  <si>
    <t>CFM / Fixture</t>
  </si>
  <si>
    <t># Fixtures</t>
  </si>
  <si>
    <t>Vent CFM</t>
  </si>
  <si>
    <t>Locker</t>
  </si>
  <si>
    <t>Coincident Wet Bulb</t>
  </si>
  <si>
    <t>Wall CLTD Values and Group Numbers</t>
  </si>
  <si>
    <t>16A9</t>
  </si>
  <si>
    <t>16A12</t>
  </si>
  <si>
    <t>16A15</t>
  </si>
  <si>
    <t>16A18</t>
  </si>
  <si>
    <t>16B9</t>
  </si>
  <si>
    <t>16B12</t>
  </si>
  <si>
    <t>16B15</t>
  </si>
  <si>
    <t>16B18</t>
  </si>
  <si>
    <t>16C9</t>
  </si>
  <si>
    <t>16C12</t>
  </si>
  <si>
    <t>16C15</t>
  </si>
  <si>
    <t>16C18</t>
  </si>
  <si>
    <t>16D9</t>
  </si>
  <si>
    <t>16D12</t>
  </si>
  <si>
    <t>16D15</t>
  </si>
  <si>
    <t>16D18</t>
  </si>
  <si>
    <t>16F9</t>
  </si>
  <si>
    <t>16F12</t>
  </si>
  <si>
    <t>16F15</t>
  </si>
  <si>
    <t>16F18</t>
  </si>
  <si>
    <t>16BR9</t>
  </si>
  <si>
    <t>16BR12</t>
  </si>
  <si>
    <t>16BR15</t>
  </si>
  <si>
    <t>16BR18</t>
  </si>
  <si>
    <t>16CR9</t>
  </si>
  <si>
    <t>16CR12</t>
  </si>
  <si>
    <t>16CR15</t>
  </si>
  <si>
    <t>16CR18</t>
  </si>
  <si>
    <t>16DR9</t>
  </si>
  <si>
    <t>16DR12</t>
  </si>
  <si>
    <t>16DR15</t>
  </si>
  <si>
    <t>16DR18</t>
  </si>
  <si>
    <t>16E9</t>
  </si>
  <si>
    <t>16E12</t>
  </si>
  <si>
    <t>16E15</t>
  </si>
  <si>
    <t>16E18</t>
  </si>
  <si>
    <t>16ER9</t>
  </si>
  <si>
    <t>16ER12</t>
  </si>
  <si>
    <t>16ER15</t>
  </si>
  <si>
    <t>16ER18</t>
  </si>
  <si>
    <t>16FR9</t>
  </si>
  <si>
    <t>16FR12</t>
  </si>
  <si>
    <t>16FR15</t>
  </si>
  <si>
    <t>16FR18</t>
  </si>
  <si>
    <t>R1</t>
  </si>
  <si>
    <t>R2</t>
  </si>
  <si>
    <t>R3</t>
  </si>
  <si>
    <t>R4</t>
  </si>
  <si>
    <t>R5</t>
  </si>
  <si>
    <t>R6</t>
  </si>
  <si>
    <t>R7</t>
  </si>
  <si>
    <t>R8</t>
  </si>
  <si>
    <t>R9</t>
  </si>
  <si>
    <t>R10</t>
  </si>
  <si>
    <t>R12</t>
  </si>
  <si>
    <t>R13</t>
  </si>
  <si>
    <t>R14</t>
  </si>
  <si>
    <t>R15</t>
  </si>
  <si>
    <t>RC1</t>
  </si>
  <si>
    <t>RC2</t>
  </si>
  <si>
    <t>RC3</t>
  </si>
  <si>
    <t>RC4</t>
  </si>
  <si>
    <t>RC5</t>
  </si>
  <si>
    <t>RC6</t>
  </si>
  <si>
    <t>RC7</t>
  </si>
  <si>
    <t>RC8</t>
  </si>
  <si>
    <t>RC9</t>
  </si>
  <si>
    <t>RC10</t>
  </si>
  <si>
    <t>RC12</t>
  </si>
  <si>
    <t>RC13</t>
  </si>
  <si>
    <t>RC14</t>
  </si>
  <si>
    <t>RC15</t>
  </si>
  <si>
    <t>* Default ALF for heating and cooling = Sensible load from line 14 of Form N1 / (FA x 1.1 x ACF x ∆T)     where: ∆T = SAR or SAD</t>
  </si>
  <si>
    <t>Michigan, Battle Creek AP</t>
  </si>
  <si>
    <t>Michigan, Benton Harbor AP</t>
  </si>
  <si>
    <t xml:space="preserve">Michigan, Detroit </t>
  </si>
  <si>
    <t xml:space="preserve">Michigan, Escanaba </t>
  </si>
  <si>
    <t>Michigan, Flint AP</t>
  </si>
  <si>
    <t>Michigan, Grand Rapids AP</t>
  </si>
  <si>
    <t xml:space="preserve">Michigan, Hancock </t>
  </si>
  <si>
    <t>Michigan, Harbour Beach</t>
  </si>
  <si>
    <t xml:space="preserve">Michigan, Holland </t>
  </si>
  <si>
    <t>Michigan, Jackson AP</t>
  </si>
  <si>
    <t>Florida, Vero Beach</t>
  </si>
  <si>
    <t>Florida, West Palm Beach AP</t>
  </si>
  <si>
    <t>Georgia, Albany, Turner</t>
  </si>
  <si>
    <t>AFB</t>
  </si>
  <si>
    <t>Partition Walls (Construction 12, 13 and 14) — Use estimated partition temperature difference for heating (PTDH) and cooling (PTDC)</t>
  </si>
  <si>
    <t>Below Grade Walls (Construction 15)</t>
  </si>
  <si>
    <t>Hour of Day</t>
  </si>
  <si>
    <t>OD DB</t>
  </si>
  <si>
    <t>ID DB</t>
  </si>
  <si>
    <t>Adjust'd</t>
  </si>
  <si>
    <t xml:space="preserve">Direction &gt; </t>
  </si>
  <si>
    <t>For bare pipe: SG = 1.1 x Length x Factor     For Insulated Pipe: SG = 1.1 x Length x TD x Factor      SCL = SG x CLF</t>
  </si>
  <si>
    <t>Bare = Blank</t>
  </si>
  <si>
    <t>Part 6 -- Sensible Load for Hot Pipes (Btuh)</t>
  </si>
  <si>
    <t>Part 7 -- Sensible Load for Hot Surfaces (Btuh)</t>
  </si>
  <si>
    <t>Hot Surface Item
Table 6G-3</t>
  </si>
  <si>
    <t>Surface</t>
  </si>
  <si>
    <t>6G-3</t>
  </si>
  <si>
    <t>Position</t>
  </si>
  <si>
    <t>Altitude</t>
  </si>
  <si>
    <t>Feet</t>
  </si>
  <si>
    <t>North</t>
  </si>
  <si>
    <t>West</t>
  </si>
  <si>
    <t>Dry Bulb</t>
  </si>
  <si>
    <t>Enter Part 1 Ueff default; or use actual U-values and AR values (default AR or actual AR) to calculate Ueff for the complete assembly</t>
  </si>
  <si>
    <t>P = Curb perimeter (Ft) = 2 x (L + W)</t>
  </si>
  <si>
    <t>Apanel (SqFt) = L x W</t>
  </si>
  <si>
    <t>Acurb (SqFt) = P x (Curb height in inches) / 12</t>
  </si>
  <si>
    <t>Ashaft (SqFt) = P x Shaft height in feet</t>
  </si>
  <si>
    <t xml:space="preserve">ARcurb = Acurb / Apanel </t>
  </si>
  <si>
    <t>L (FT)</t>
  </si>
  <si>
    <t>W (FT)</t>
  </si>
  <si>
    <t>Curb Dimensions</t>
  </si>
  <si>
    <t>Alabama, Ozark, Fort Rucker</t>
  </si>
  <si>
    <t>Alabama, Selma-Craig AFB</t>
  </si>
  <si>
    <t xml:space="preserve">Alabama, Talladega </t>
  </si>
  <si>
    <t>Alabama, Tuscaloosa AP</t>
  </si>
  <si>
    <t>Alaska, Adak, NAS</t>
  </si>
  <si>
    <t>Alaska, Anchorage IAP</t>
  </si>
  <si>
    <t>Alaska, Anchorage, Elemendorf AFB</t>
  </si>
  <si>
    <t>Alaska, Anchorage, Fort Richardson</t>
  </si>
  <si>
    <t xml:space="preserve">Alaska, Annette </t>
  </si>
  <si>
    <t xml:space="preserve">Alaska, Barrow </t>
  </si>
  <si>
    <t xml:space="preserve">Alaska, Bethel </t>
  </si>
  <si>
    <t xml:space="preserve">Alaska, Bettles </t>
  </si>
  <si>
    <t>Alaska, Big Delta, Ft. Greely</t>
  </si>
  <si>
    <t>Alaska, Cold Bay</t>
  </si>
  <si>
    <t xml:space="preserve">Alaska, Cordova </t>
  </si>
  <si>
    <t xml:space="preserve">Alaska, Deadhorse </t>
  </si>
  <si>
    <t xml:space="preserve">Alaska, Dillingham </t>
  </si>
  <si>
    <t>Alaska, Fairbanks IAP</t>
  </si>
  <si>
    <t>Alaska, Fairbanks, Eielson AFB</t>
  </si>
  <si>
    <t xml:space="preserve">Alaska, Galena </t>
  </si>
  <si>
    <t>BHLF = (-1.528E-08 x Amb + 2.319E-06) x Floor Area - 1.538E-03 x Amb + 1.179E-01</t>
  </si>
  <si>
    <t>BSGF = (3.500E-08 x Amb - 1.767E-06) x Floor Area + 2.245E-03 x Amb - 1.397E-01</t>
  </si>
  <si>
    <t>7TP-0.5</t>
  </si>
  <si>
    <t>BLG = (1.810E-02 x Amb + 9.028E-02) x Floor Area - 1.231E+01 x Amb - 1.283E+02</t>
  </si>
  <si>
    <t>BHLF = (-5.694E-08 x Amb + 5.653E-06) x Floor Area - 3.729E-03 x Amb + 3.600E-01</t>
  </si>
  <si>
    <t>BSGF = (9.500E-08 x Amb - 5.117E-06) x Floor Area + 5.745E-03 x Amb - 3.295E-01</t>
  </si>
  <si>
    <t>7TP-1.0</t>
  </si>
  <si>
    <t>BLG = (2.178E-02 x Amb + 2.201E-01) x Floor Area - 9.083E+00 x Amb - 1.379E+02</t>
  </si>
  <si>
    <t>BHLF = (-3.889E-08 x Amb + 3.722E-06) x Floor Area - 2.550E-03 x Amb + 2.385E-01</t>
  </si>
  <si>
    <t>BSGF = (8.083E-08 x Amb - 4.267E-06) x Floor Area + 3.428E-03 x Amb - 1.984E-01</t>
  </si>
  <si>
    <t>7TP-1.5</t>
  </si>
  <si>
    <t>7TP-2.0</t>
  </si>
  <si>
    <t>BLG = (2.971E-02 x Amb + 3.144E-01) x Floor Area - 1.439E+01 x Amb - 2.238E+02</t>
  </si>
  <si>
    <t>BHLF = (-3.194E-08 x Amb + 3.069E-06) x Floor Area - 1.688E-03 x Amb + 1.656E-01</t>
  </si>
  <si>
    <t>BSGF = (3.750E-08 x Amb - 1.667E-06) x Floor Area + 2.658E-03 x Amb - 1.542E-01</t>
  </si>
  <si>
    <t>or Width</t>
  </si>
  <si>
    <t>(SqFt)</t>
  </si>
  <si>
    <t xml:space="preserve">Net </t>
  </si>
  <si>
    <t>Slab</t>
  </si>
  <si>
    <t>Edge</t>
  </si>
  <si>
    <t>or Slab</t>
  </si>
  <si>
    <t>Form N1 has three lines for floors.</t>
  </si>
  <si>
    <t>Doors &amp;</t>
  </si>
  <si>
    <t>BLG (Btuh) =</t>
  </si>
  <si>
    <t>Part 2) R-Value Correction (WIF)</t>
  </si>
  <si>
    <t>WIFloss =</t>
  </si>
  <si>
    <t xml:space="preserve">WIFgain = </t>
  </si>
  <si>
    <t>Part 3) Leakage Rate Correction (LCF)</t>
  </si>
  <si>
    <t xml:space="preserve">LCFloss = </t>
  </si>
  <si>
    <t>LCFgain =</t>
  </si>
  <si>
    <t>LCFlatent =</t>
  </si>
  <si>
    <t>Part 4) Surface Area Adjustment</t>
  </si>
  <si>
    <t>Supply-Side</t>
  </si>
  <si>
    <t>Return-Side</t>
  </si>
  <si>
    <t>Ks =</t>
  </si>
  <si>
    <t>Kr =</t>
  </si>
  <si>
    <t>2) Perform DAC-1 heat balance calculations for heating and cooling using the entire floor area of the space covered by the dead air cavity.</t>
  </si>
  <si>
    <t>3) Perform DAC-2 heat balance calculations for heating and cooling using the entire floor area of the space covered by the dead air cavity.</t>
  </si>
  <si>
    <t>Avg PT</t>
  </si>
  <si>
    <t>Space db</t>
  </si>
  <si>
    <t>For Wrk RAP-3 when used</t>
  </si>
  <si>
    <t>San Luis Obispo</t>
  </si>
  <si>
    <t>Santa Ana AP</t>
  </si>
  <si>
    <t>Santa Barbara AP</t>
  </si>
  <si>
    <t>Santa Cruz</t>
  </si>
  <si>
    <t>Santa Maria AP</t>
  </si>
  <si>
    <t xml:space="preserve">     a leaky cavity and a tight ceiling. Use Design Grains / 2 for a general default.</t>
  </si>
  <si>
    <t>&lt; default &gt;</t>
  </si>
  <si>
    <t>Group</t>
  </si>
  <si>
    <t>Base CLTD</t>
  </si>
  <si>
    <t>For Wrk G</t>
  </si>
  <si>
    <t>Table 12 Grains</t>
  </si>
  <si>
    <t>1)  Air changes per hour (ACH) specified by local code: →</t>
  </si>
  <si>
    <t>Cfm specified by local code —&gt;</t>
  </si>
  <si>
    <t>Outdoor CFM</t>
  </si>
  <si>
    <t>IDGR</t>
  </si>
  <si>
    <t>Net Infilt.</t>
  </si>
  <si>
    <t>TCFM</t>
  </si>
  <si>
    <t>Gallons</t>
  </si>
  <si>
    <t>Per</t>
  </si>
  <si>
    <t>Heating Load (Btuh) = 0.68 x ACF x TCFM x (IDGR - ODGR)     Gallons Per Day = 0.00272 x Heating Load     Add hygroscopic load, if applicable.</t>
  </si>
  <si>
    <t>Redding AP</t>
  </si>
  <si>
    <t xml:space="preserve">Redlands </t>
  </si>
  <si>
    <t xml:space="preserve">Richmond </t>
  </si>
  <si>
    <t>Riverside-March AFB</t>
  </si>
  <si>
    <t>Sacramento AP</t>
  </si>
  <si>
    <t>Sacramento, McClellan AFB</t>
  </si>
  <si>
    <t>Sacramento, Metro</t>
  </si>
  <si>
    <t>Salinas AP</t>
  </si>
  <si>
    <t>San Bernadino, Norton AFB</t>
  </si>
  <si>
    <t>San Diego AP</t>
  </si>
  <si>
    <t>San Diego, Miramar NAS</t>
  </si>
  <si>
    <t>San Fernando</t>
  </si>
  <si>
    <t>San Francisco AP</t>
  </si>
  <si>
    <t>San Francisco CO</t>
  </si>
  <si>
    <t>San Jose AP</t>
  </si>
  <si>
    <t>Utah</t>
  </si>
  <si>
    <t>Vermont</t>
  </si>
  <si>
    <t>Virginia</t>
  </si>
  <si>
    <t>Washington</t>
  </si>
  <si>
    <t>West Virginia</t>
  </si>
  <si>
    <t>Wisconsin</t>
  </si>
  <si>
    <t>Wyoming</t>
  </si>
  <si>
    <t xml:space="preserve">Ashtabula </t>
  </si>
  <si>
    <t xml:space="preserve">Athens </t>
  </si>
  <si>
    <t>Bowling Green</t>
  </si>
  <si>
    <t xml:space="preserve">Cambridge </t>
  </si>
  <si>
    <t xml:space="preserve">Chilicothe </t>
  </si>
  <si>
    <t>Cincinnati, Lunken Field</t>
  </si>
  <si>
    <t>Cleveland AP</t>
  </si>
  <si>
    <t>Columbus AP</t>
  </si>
  <si>
    <t>Columbus, Rickenbckr AFB</t>
  </si>
  <si>
    <t>17A -10pc</t>
  </si>
  <si>
    <t>Concrete deck  four inches thick r-12  board</t>
  </si>
  <si>
    <t>Installed Square Feet of Supply Duct or Default = "T"</t>
  </si>
  <si>
    <t xml:space="preserve">Floor area under roof = </t>
  </si>
  <si>
    <t xml:space="preserve">Floor area under floor = </t>
  </si>
  <si>
    <t>DF ALF</t>
  </si>
  <si>
    <t xml:space="preserve">ALF for </t>
  </si>
  <si>
    <t>Duct Tbl</t>
  </si>
  <si>
    <t>Type of Space (room #, zone # or block)</t>
  </si>
  <si>
    <t>Part 1-- Determine Space Infiltration Cfm for Neutral Space Pressure</t>
  </si>
  <si>
    <t>Option 1 — ACH Defaults (Tables 5A, 5B, 5C and 5D)</t>
  </si>
  <si>
    <t>Operating</t>
  </si>
  <si>
    <t>Mode</t>
  </si>
  <si>
    <t>Class</t>
  </si>
  <si>
    <t>Space ACH</t>
  </si>
  <si>
    <t>(Note 1)</t>
  </si>
  <si>
    <t>Food Service Equipment and Investigated Loads</t>
  </si>
  <si>
    <r>
      <t>Step 1:</t>
    </r>
    <r>
      <rPr>
        <sz val="10"/>
        <rFont val="Arial"/>
        <family val="2"/>
      </rPr>
      <t xml:space="preserve"> Go to the </t>
    </r>
    <r>
      <rPr>
        <b/>
        <sz val="10"/>
        <rFont val="Arial"/>
        <family val="2"/>
      </rPr>
      <t>Form N1</t>
    </r>
    <r>
      <rPr>
        <sz val="10"/>
        <rFont val="Arial"/>
        <family val="2"/>
      </rPr>
      <t xml:space="preserve"> tab and select your default design state and city .</t>
    </r>
  </si>
  <si>
    <r>
      <t>Step 2:</t>
    </r>
    <r>
      <rPr>
        <sz val="10"/>
        <rFont val="Arial"/>
        <family val="2"/>
      </rPr>
      <t xml:space="preserve"> Go to the </t>
    </r>
    <r>
      <rPr>
        <b/>
        <sz val="10"/>
        <rFont val="Arial"/>
        <family val="2"/>
      </rPr>
      <t>Database</t>
    </r>
    <r>
      <rPr>
        <sz val="10"/>
        <rFont val="Arial"/>
        <family val="2"/>
      </rPr>
      <t xml:space="preserve"> tab and enter the building components used most frequently in your geographic and market area.</t>
    </r>
  </si>
  <si>
    <t>Skylights Database</t>
  </si>
  <si>
    <t>Doors Database</t>
  </si>
  <si>
    <t>Walls Database</t>
  </si>
  <si>
    <t>Ceilings Database</t>
  </si>
  <si>
    <t>Floors Database</t>
  </si>
  <si>
    <r>
      <t>Glass Input:</t>
    </r>
    <r>
      <rPr>
        <sz val="10"/>
        <rFont val="Arial"/>
        <family val="2"/>
      </rPr>
      <t xml:space="preserve"> Enter the type of glass, quantity, direction, dimensions, internal shading, adjustments and overhang adjustments</t>
    </r>
  </si>
  <si>
    <t xml:space="preserve">Min OA damper provides vent Cfm = </t>
  </si>
  <si>
    <t xml:space="preserve">Econ cycle damper provides vent Cfm = </t>
  </si>
  <si>
    <t xml:space="preserve">Max Cfm through econ damper = </t>
  </si>
  <si>
    <t xml:space="preserve">Max Cfm through min OA damper = </t>
  </si>
  <si>
    <t xml:space="preserve"> &lt; Damper sized for min OA Cfm (or some other less than maxium value)</t>
  </si>
  <si>
    <t xml:space="preserve"> &lt; Measured or specified</t>
  </si>
  <si>
    <t xml:space="preserve">Damper leakage Cfm for econ damper = </t>
  </si>
  <si>
    <t xml:space="preserve">Damper leakage Cfm for min damper = </t>
  </si>
  <si>
    <t xml:space="preserve">Damper leakage Cfm for this scenerio = </t>
  </si>
  <si>
    <t xml:space="preserve"> &lt; For any type damper at minimum position</t>
  </si>
  <si>
    <t xml:space="preserve">Vent Cfm measured in field (or balnk) = </t>
  </si>
  <si>
    <t xml:space="preserve">Min OA damper Cfm for this scenerio = </t>
  </si>
  <si>
    <t>* Refer to Section 9.9 for guidance pertaining to case number and look-up floor area. See Section 9.7 for heating SAT.</t>
  </si>
  <si>
    <t>Worksheet G</t>
  </si>
  <si>
    <t>To Form N1 &gt;</t>
  </si>
  <si>
    <t>Line 14a</t>
  </si>
  <si>
    <t xml:space="preserve"> Line 15</t>
  </si>
  <si>
    <t>Dead Air Cavity Under a Conditioned Space</t>
  </si>
  <si>
    <t>For Worksheet G - Heating</t>
  </si>
  <si>
    <t>Defult to duct runs in conditioned space. A duct load calcuation is not required for heating.</t>
  </si>
  <si>
    <t>Worksheet RAP-1</t>
  </si>
  <si>
    <t>Duct</t>
  </si>
  <si>
    <t xml:space="preserve"> &lt; Current load values</t>
  </si>
  <si>
    <t xml:space="preserve"> &lt; Transcribe current values to these cells</t>
  </si>
  <si>
    <t>Avoid circular reference problems</t>
  </si>
  <si>
    <t>Motor Efficiency &gt; 0; DF = 1.0</t>
  </si>
  <si>
    <t>To avoid circular reference problem, fan and pump load-switch cells must be blank, then produce fixed values for current Form N1 space load and equipment load (for 1st run and after each revision).</t>
  </si>
  <si>
    <t>Use the circular reference procedure after any change to any worksheet.</t>
  </si>
  <si>
    <t>Adj PT for</t>
  </si>
  <si>
    <t>Release Notes:</t>
  </si>
  <si>
    <t>Initial Release</t>
  </si>
  <si>
    <t>Comparison of Manual N Procedures</t>
  </si>
  <si>
    <t>Version</t>
  </si>
  <si>
    <t>N4</t>
  </si>
  <si>
    <t>N5ae</t>
  </si>
  <si>
    <t>N5</t>
  </si>
  <si>
    <t>Standard and Code Compliance</t>
  </si>
  <si>
    <t>Existing Local Code</t>
  </si>
  <si>
    <t>Possibly, see local code</t>
  </si>
  <si>
    <t>Not for code adoption</t>
  </si>
  <si>
    <t>Adoption by Reference</t>
  </si>
  <si>
    <t>Existing Utility Regulation</t>
  </si>
  <si>
    <t>Possibly, see local regulation</t>
  </si>
  <si>
    <t>Not for regulatory use</t>
  </si>
  <si>
    <t>HVAC Licensing test</t>
  </si>
  <si>
    <t>Possibly, see local requirement</t>
  </si>
  <si>
    <t xml:space="preserve">ACCA offers assistance to testing authorities; contact Glenn Hourhan </t>
  </si>
  <si>
    <t>Practitioner Implementation</t>
  </si>
  <si>
    <t>Learning Curve (prerequisite)</t>
  </si>
  <si>
    <t>Entry level (Manual J experience helpful)</t>
  </si>
  <si>
    <t>Entry level (MJ8ae useful; MJ8 preferred)</t>
  </si>
  <si>
    <t>Advanced (MJ8 and N5ae preferred)</t>
  </si>
  <si>
    <t xml:space="preserve">Implementation by Hand Calculations </t>
  </si>
  <si>
    <t>Yes (but time consuming)</t>
  </si>
  <si>
    <t>Yes (computer spreadsheet recommended)</t>
  </si>
  <si>
    <t>Possible (not recommended; use computer)</t>
  </si>
  <si>
    <t>Type of Building</t>
  </si>
  <si>
    <t>Residential Structure CCU</t>
  </si>
  <si>
    <t>Yes (uses MJ8 construction database)</t>
  </si>
  <si>
    <t>U-values and AR values not required if Table 2A or 2C Ueff  is used for Assembly Ueff.. 
Table 2B-3 AR Defaults: AR for small curb = 0.35; AR for large curb = 0.75; AR for lightshaft = 4.00</t>
  </si>
  <si>
    <t>SqFt</t>
  </si>
  <si>
    <t>Part 3 -- Calculate the Heating and Cooling HTM Values for the Skylight Assembly</t>
  </si>
  <si>
    <t>Tilt</t>
  </si>
  <si>
    <t>Angle</t>
  </si>
  <si>
    <t>Θ</t>
  </si>
  <si>
    <t>Horizontal</t>
  </si>
  <si>
    <t>Vertical</t>
  </si>
  <si>
    <r>
      <t xml:space="preserve">Cos </t>
    </r>
    <r>
      <rPr>
        <sz val="8"/>
        <rFont val="Arial"/>
        <family val="2"/>
      </rPr>
      <t>Θ</t>
    </r>
  </si>
  <si>
    <t>Sol-H</t>
  </si>
  <si>
    <r>
      <t xml:space="preserve">Sine </t>
    </r>
    <r>
      <rPr>
        <sz val="8"/>
        <rFont val="Arial"/>
        <family val="2"/>
      </rPr>
      <t>Θ</t>
    </r>
  </si>
  <si>
    <t>Sol-V</t>
  </si>
  <si>
    <t>Equations for Part 3</t>
  </si>
  <si>
    <t>Fort Worth, Carswell AFB</t>
  </si>
  <si>
    <t>Fort Worth, Meacham Field</t>
  </si>
  <si>
    <t>Galveston AP</t>
  </si>
  <si>
    <t>Guadalupe Pass</t>
  </si>
  <si>
    <t xml:space="preserve">Harlingen </t>
  </si>
  <si>
    <t>Houston AP</t>
  </si>
  <si>
    <t>Houston, Hobby AP</t>
  </si>
  <si>
    <t xml:space="preserve">Huntsville </t>
  </si>
  <si>
    <t xml:space="preserve">Junction </t>
  </si>
  <si>
    <t>Killeen-Gray AFB</t>
  </si>
  <si>
    <t>Kingsville, NAS</t>
  </si>
  <si>
    <t xml:space="preserve">Lamesa </t>
  </si>
  <si>
    <t>Laredo AFB</t>
  </si>
  <si>
    <t xml:space="preserve">Middletown </t>
  </si>
  <si>
    <t xml:space="preserve">Newark </t>
  </si>
  <si>
    <t xml:space="preserve">Norwalk </t>
  </si>
  <si>
    <t xml:space="preserve">Portsmouth </t>
  </si>
  <si>
    <t>Sandusky CO</t>
  </si>
  <si>
    <t xml:space="preserve">Springfield </t>
  </si>
  <si>
    <t xml:space="preserve">Stubenville </t>
  </si>
  <si>
    <t>Toledo AP</t>
  </si>
  <si>
    <t xml:space="preserve">Warren </t>
  </si>
  <si>
    <t xml:space="preserve">Wooster </t>
  </si>
  <si>
    <t>Youngstown AP</t>
  </si>
  <si>
    <t>Zanesville AP</t>
  </si>
  <si>
    <t>Design State</t>
  </si>
  <si>
    <t>Design City</t>
  </si>
  <si>
    <t>Supply Duct Load</t>
  </si>
  <si>
    <t>Design Hour of Day</t>
  </si>
  <si>
    <t>Heating Temp. Difference</t>
  </si>
  <si>
    <t>Cooling Temp. Difference</t>
  </si>
  <si>
    <r>
      <t xml:space="preserve">Manual N, 5th Edition, Abridged Version  </t>
    </r>
    <r>
      <rPr>
        <b/>
        <sz val="8"/>
        <rFont val="Symbol"/>
        <family val="1"/>
        <charset val="2"/>
      </rPr>
      <t>·</t>
    </r>
    <r>
      <rPr>
        <b/>
        <sz val="8"/>
        <rFont val="Arial"/>
        <family val="2"/>
      </rPr>
      <t xml:space="preserve">  Form N1</t>
    </r>
  </si>
  <si>
    <t>Altitude Correction Factor</t>
  </si>
  <si>
    <t>Total LFG = Total lighting fixture gain for troffers or cans in the ceiling (from Part 1, Worksheet E, as applicable).</t>
  </si>
  <si>
    <t>California, Los Angeles CO</t>
  </si>
  <si>
    <t>California, Marysville, Beale AFB</t>
  </si>
  <si>
    <t>California, Merced-Castle AFB</t>
  </si>
  <si>
    <t xml:space="preserve">California, Modesto </t>
  </si>
  <si>
    <t xml:space="preserve">California, Monterey </t>
  </si>
  <si>
    <t>California, Mount Shasta</t>
  </si>
  <si>
    <t>California, Mountain View, Moffet NAS</t>
  </si>
  <si>
    <t xml:space="preserve">California, Napa </t>
  </si>
  <si>
    <t>California, Needles AP</t>
  </si>
  <si>
    <t>California, Oakland AP</t>
  </si>
  <si>
    <t xml:space="preserve">California, Oceanside </t>
  </si>
  <si>
    <t>California, Ontario IAP</t>
  </si>
  <si>
    <t xml:space="preserve">California, Oxnard </t>
  </si>
  <si>
    <t>California, Palmdale AP</t>
  </si>
  <si>
    <t>California, Palm Springs</t>
  </si>
  <si>
    <t xml:space="preserve">California, Pasadena </t>
  </si>
  <si>
    <t>California, Paso Robles</t>
  </si>
  <si>
    <t xml:space="preserve">California, Petaluma </t>
  </si>
  <si>
    <t>California, Pomona CO</t>
  </si>
  <si>
    <t>California, Red Bluff</t>
  </si>
  <si>
    <t>California, Redding AP</t>
  </si>
  <si>
    <t xml:space="preserve">California, Redlands </t>
  </si>
  <si>
    <t xml:space="preserve">California, Richmond </t>
  </si>
  <si>
    <t>California, Riverside-March AFB</t>
  </si>
  <si>
    <t>California, Sacramento AP</t>
  </si>
  <si>
    <t>California, Sacramento, McClellan AFB</t>
  </si>
  <si>
    <t>California, Sacramento, Metro</t>
  </si>
  <si>
    <t>California, Salinas AP</t>
  </si>
  <si>
    <r>
      <t>►</t>
    </r>
    <r>
      <rPr>
        <sz val="8"/>
        <color indexed="12"/>
        <rFont val="Arial"/>
        <family val="2"/>
      </rPr>
      <t xml:space="preserve"> </t>
    </r>
    <r>
      <rPr>
        <b/>
        <sz val="8"/>
        <color indexed="8"/>
        <rFont val="Arial"/>
        <family val="2"/>
      </rPr>
      <t>Lookup</t>
    </r>
  </si>
  <si>
    <t xml:space="preserve">Total Loads  </t>
  </si>
  <si>
    <t xml:space="preserve">West Virginia, Beckley </t>
  </si>
  <si>
    <t>West Virginia, Bluefield AP</t>
  </si>
  <si>
    <t>West Virginia, Charleston AP</t>
  </si>
  <si>
    <t xml:space="preserve">West Virginia, Clarksburg </t>
  </si>
  <si>
    <t>West Virginia, Elkins AP</t>
  </si>
  <si>
    <t>West Virginia, Huntington CO</t>
  </si>
  <si>
    <t>West Virginia, Martinsburg AP</t>
  </si>
  <si>
    <t>West Virginia, Morgantown AP</t>
  </si>
  <si>
    <t>West Virginia, Parkersburg CO</t>
  </si>
  <si>
    <t xml:space="preserve">West Virginia, Wheeling </t>
  </si>
  <si>
    <t xml:space="preserve">Wisconsin, Appleton </t>
  </si>
  <si>
    <t xml:space="preserve">Wisconsin, Ashland </t>
  </si>
  <si>
    <t xml:space="preserve">Wisconsin, Beloit </t>
  </si>
  <si>
    <t>Wisconsin, Eau Claire AP</t>
  </si>
  <si>
    <t>Wisconsin, Fond du Lac</t>
  </si>
  <si>
    <t>Wisconsin, Green Bay AP</t>
  </si>
  <si>
    <t>Wisconsin, LaCrosse AP</t>
  </si>
  <si>
    <t>F</t>
  </si>
  <si>
    <t>13AA-0occ</t>
  </si>
  <si>
    <r>
      <t xml:space="preserve">You can now populate the header portion of the </t>
    </r>
    <r>
      <rPr>
        <b/>
        <sz val="10"/>
        <rFont val="Tahoma"/>
        <family val="2"/>
      </rPr>
      <t>N1 Form</t>
    </r>
    <r>
      <rPr>
        <sz val="10"/>
        <rFont val="Tahoma"/>
        <family val="2"/>
      </rPr>
      <t xml:space="preserve"> and the six </t>
    </r>
    <r>
      <rPr>
        <b/>
        <sz val="10"/>
        <rFont val="Tahoma"/>
        <family val="2"/>
      </rPr>
      <t>Input Tabs</t>
    </r>
    <r>
      <rPr>
        <sz val="10"/>
        <rFont val="Tahoma"/>
        <family val="2"/>
      </rPr>
      <t xml:space="preserve"> to create default</t>
    </r>
  </si>
  <si>
    <t>Part 2 -- Hot Water, Steam and Chilled Water Piping Load (Btuh)</t>
  </si>
  <si>
    <t>System</t>
  </si>
  <si>
    <t>Table 9</t>
  </si>
  <si>
    <t>(f)</t>
  </si>
  <si>
    <t>(WTD)</t>
  </si>
  <si>
    <t>Ambient</t>
  </si>
  <si>
    <t>Temp.</t>
  </si>
  <si>
    <t>Fluid</t>
  </si>
  <si>
    <t>of Pipe</t>
  </si>
  <si>
    <t>(L)</t>
  </si>
  <si>
    <t>Pipe Item</t>
  </si>
  <si>
    <t>Tables 9A1-, 9A-2</t>
  </si>
  <si>
    <t>and 9B</t>
  </si>
  <si>
    <t>Hot water or steam: WTD = Tf -Ta    Chilled  water: WTD = Ta -Tf       Bare hot pipe: Load = L x f     Hot or cold insulated pipe: Load = L x WTD x f</t>
  </si>
  <si>
    <t>Part 3 -- Blower Motor and Chilled Water Pump Load (Btuh)</t>
  </si>
  <si>
    <t>Total Fan</t>
  </si>
  <si>
    <t>&amp; Pump</t>
  </si>
  <si>
    <t>Line 19</t>
  </si>
  <si>
    <t>Pump</t>
  </si>
  <si>
    <t>Grand Total</t>
  </si>
  <si>
    <t>(Line 21)</t>
  </si>
  <si>
    <t>Head</t>
  </si>
  <si>
    <t>Lighting HTM = (Lighting Btuh + Other Loads) / Gross Ceiling Area;  Ceiling HTM = - Ceiling U-Value x (CT - IAT)</t>
  </si>
  <si>
    <t>Lighting Btuh to cavity = Total LFG x DAF from Table 6A-10;  Other Loads = Other electric-mechanical gains to dead air cavity</t>
  </si>
  <si>
    <t>7TC-1.0</t>
  </si>
  <si>
    <t>Weighted average load for heating (Btuh)</t>
  </si>
  <si>
    <t>6) Use the following forms to calculate the weighted average plenum temperature for cooling and heating.</t>
  </si>
  <si>
    <t>From</t>
  </si>
  <si>
    <t>Output</t>
  </si>
  <si>
    <t>Actual SqFt = floor area under roof for RAP-1 and floor area under conditioned space for RAP-2</t>
  </si>
  <si>
    <t>Weighted</t>
  </si>
  <si>
    <t>California, San Jose AP</t>
  </si>
  <si>
    <t>California, San Luis Obispo</t>
  </si>
  <si>
    <t>California, Santa Ana AP</t>
  </si>
  <si>
    <t>California, Santa Barbara AP</t>
  </si>
  <si>
    <t>California, Santa Cruz</t>
  </si>
  <si>
    <t>California, Santa Maria AP</t>
  </si>
  <si>
    <t>Cs</t>
  </si>
  <si>
    <t>Shielding</t>
  </si>
  <si>
    <t>Cw</t>
  </si>
  <si>
    <t>3) Obtain leaving air temperature (LATVDH) and leaving grains (GrainVDH) from the equipment manufacturer’s engineering data or technical service.</t>
  </si>
  <si>
    <t>4) For outdoor air not processed by a device: T1heat = To heat; T1cool = To cool; DGgrains = DGrains (all from the preceding column).</t>
  </si>
  <si>
    <t>The ceiling HTM, load area and cooling load appear on Form N1, Line 10.</t>
  </si>
  <si>
    <t>The ceiling and floor loads appear on the same forms if both spaces contribute to a block load or zone load.</t>
  </si>
  <si>
    <t>Return air loads appear on Worksheet RAP-2, Worksheet G and on Form N1, Line 15.</t>
  </si>
  <si>
    <t>Worksheet DAC-1</t>
  </si>
  <si>
    <t>Dead Air Cavity Under a Roof</t>
  </si>
  <si>
    <t>SAT for</t>
  </si>
  <si>
    <t xml:space="preserve"> &lt; Sensibel load for default AH Cfm</t>
  </si>
  <si>
    <t>General Notes:</t>
  </si>
  <si>
    <t>Use lines 61 to 71 to evaluate CLTD values for ceilings</t>
  </si>
  <si>
    <t>17B-10c-4lw</t>
  </si>
  <si>
    <t>Concrete deck, 4 inch light weight, R10 board</t>
  </si>
  <si>
    <t>Food Service Equipment and</t>
  </si>
  <si>
    <t>Investigated Loads</t>
  </si>
  <si>
    <t>20BP-0pc</t>
  </si>
  <si>
    <t>Precast hollow core deck, no insulation</t>
  </si>
  <si>
    <t>Actual fan or pump load (Btuh) = 2,545 x Actual shaft HP / Motor efficiency   (Efficiency = 1.0 if motor is not in the flow; or DF = 0.95 if in flow.)</t>
  </si>
  <si>
    <t>Enter 1 if applies</t>
  </si>
  <si>
    <t>Horse Power</t>
  </si>
  <si>
    <t xml:space="preserve">Winona </t>
  </si>
  <si>
    <t>Biloxi, Keesler AFB</t>
  </si>
  <si>
    <t xml:space="preserve">Clarksdale </t>
  </si>
  <si>
    <t>Columbus AFB</t>
  </si>
  <si>
    <t>Greenville AFB</t>
  </si>
  <si>
    <t xml:space="preserve">Greenwood </t>
  </si>
  <si>
    <t xml:space="preserve">Hattiesburg </t>
  </si>
  <si>
    <t xml:space="preserve">Laurel </t>
  </si>
  <si>
    <t>McComb AP</t>
  </si>
  <si>
    <t>Meridian AP</t>
  </si>
  <si>
    <t xml:space="preserve">Natchez </t>
  </si>
  <si>
    <t xml:space="preserve">Tupelo </t>
  </si>
  <si>
    <t>Vicksburg CO</t>
  </si>
  <si>
    <t>Cape Girardeau</t>
  </si>
  <si>
    <t>Columbia AP</t>
  </si>
  <si>
    <t>Farmington AP</t>
  </si>
  <si>
    <t xml:space="preserve">Hannibal </t>
  </si>
  <si>
    <t>Jefferson City</t>
  </si>
  <si>
    <t>Joplin AP</t>
  </si>
  <si>
    <t>Kansas City AP</t>
  </si>
  <si>
    <t>Kirksville AP</t>
  </si>
  <si>
    <t xml:space="preserve">Mexico </t>
  </si>
  <si>
    <t xml:space="preserve">Moberly </t>
  </si>
  <si>
    <t>Poplar Bluff</t>
  </si>
  <si>
    <t xml:space="preserve">Rolla </t>
  </si>
  <si>
    <t>St. Joseph AP</t>
  </si>
  <si>
    <t>St. Louis AP</t>
  </si>
  <si>
    <t>St. Louis CO</t>
  </si>
  <si>
    <t>Sedalia, Whiteman AFB</t>
  </si>
  <si>
    <t xml:space="preserve">Sikeston </t>
  </si>
  <si>
    <t xml:space="preserve">Spickard/Trenton </t>
  </si>
  <si>
    <t>Warrensburg, Whiteman AFB</t>
  </si>
  <si>
    <t>Billings AP</t>
  </si>
  <si>
    <t xml:space="preserve">Bozeman </t>
  </si>
  <si>
    <t>Butte AP</t>
  </si>
  <si>
    <t>Cut Bank AP</t>
  </si>
  <si>
    <t>Glasgow AP</t>
  </si>
  <si>
    <t xml:space="preserve">Glendive </t>
  </si>
  <si>
    <t>Great Falls AP</t>
  </si>
  <si>
    <t>Great Falls, Malmstrom AFB</t>
  </si>
  <si>
    <t xml:space="preserve">Havre </t>
  </si>
  <si>
    <t>Helena AP</t>
  </si>
  <si>
    <t>Kalispell AP</t>
  </si>
  <si>
    <t>Livingston AP</t>
  </si>
  <si>
    <t>Miles City AP</t>
  </si>
  <si>
    <t>Missoula AP</t>
  </si>
  <si>
    <t xml:space="preserve">Beatrice </t>
  </si>
  <si>
    <t>Bellevue, Offutt AFB</t>
  </si>
  <si>
    <t>Chadron AP</t>
  </si>
  <si>
    <t xml:space="preserve">Columbus </t>
  </si>
  <si>
    <t>Grand Island AP</t>
  </si>
  <si>
    <t xml:space="preserve">Hastings </t>
  </si>
  <si>
    <t xml:space="preserve">Kearney </t>
  </si>
  <si>
    <t>Lincoln CO</t>
  </si>
  <si>
    <t xml:space="preserve">McCook </t>
  </si>
  <si>
    <t xml:space="preserve">Norfolk </t>
  </si>
  <si>
    <t>North Platte AP</t>
  </si>
  <si>
    <t>Omaha AP</t>
  </si>
  <si>
    <t>Omaha WSO</t>
  </si>
  <si>
    <t>Scottsbluff AP</t>
  </si>
  <si>
    <t>Sidney AP</t>
  </si>
  <si>
    <t xml:space="preserve">Valentine </t>
  </si>
  <si>
    <t>Carson City</t>
  </si>
  <si>
    <t>Elko AP</t>
  </si>
  <si>
    <t>Ely AP</t>
  </si>
  <si>
    <t>Las Vegas AP</t>
  </si>
  <si>
    <t>Lovelock AP</t>
  </si>
  <si>
    <t xml:space="preserve">Mercury </t>
  </si>
  <si>
    <t>North Las Vega , Nellis AFB</t>
  </si>
  <si>
    <t>1) Description: Table number with (as applicable) length, lamp type code, ballast type, number lamps, etc.            Table 6A-10 code (S, RT, RTDD, RTSD)
2) LFG = 3.413 x FW x N x DF       SLG = LFG x SF         SLL for Form N1 = SLG x CLF         RLL for Table 4B Construction 17C or 17D = LGF x RAF = LGF x (1 - SF)</t>
  </si>
  <si>
    <t>Part 3 -- Total Infiltration Cfm to Conditioned Space for Neutral Space Pressure</t>
  </si>
  <si>
    <t>NU Door</t>
  </si>
  <si>
    <t>OH Door</t>
  </si>
  <si>
    <t>Total Cfm for Heating</t>
  </si>
  <si>
    <t>Total Cfm for Cooling</t>
  </si>
  <si>
    <t>ICFM equals the sum of space Cfm, NU door Cfm and OH door Cfm</t>
  </si>
  <si>
    <t>Part 4 — Infiltration Loads on Central Equipment
Adjusted for space pressure</t>
  </si>
  <si>
    <t>Heat Load</t>
  </si>
  <si>
    <t>Sens Load</t>
  </si>
  <si>
    <t>True Commercial Structure</t>
  </si>
  <si>
    <t>Yes (uses improved version of N4 construction database)</t>
  </si>
  <si>
    <t>General Exclusions</t>
  </si>
  <si>
    <t>Buildings that have an atrium, glass roof, glass barrel vault, indoor swimming pool, indoor fountain or reflection pool, active solar system or passive solar features; any space used as a solarium; any space that has a hot tub, steam room or sauna.</t>
  </si>
  <si>
    <t>Height of Building</t>
  </si>
  <si>
    <t>Colorado, Colarado Springs AP</t>
  </si>
  <si>
    <t xml:space="preserve">Colorado, Craig </t>
  </si>
  <si>
    <t>Colorado, Denver AP</t>
  </si>
  <si>
    <t xml:space="preserve">Colorado, Durango </t>
  </si>
  <si>
    <t xml:space="preserve">Colorado, Eagle </t>
  </si>
  <si>
    <t>Colorado, Fort Collins</t>
  </si>
  <si>
    <t>Colorado, Grand Junction AP</t>
  </si>
  <si>
    <t xml:space="preserve">Colorado, Greeley </t>
  </si>
  <si>
    <t>Colorado, LaJunta AP</t>
  </si>
  <si>
    <t xml:space="preserve">Colorado, Leadville </t>
  </si>
  <si>
    <t xml:space="preserve">Colorado, Limon </t>
  </si>
  <si>
    <t>Colorado, Pueblo AP</t>
  </si>
  <si>
    <t xml:space="preserve">Colorado, Sterling </t>
  </si>
  <si>
    <t>Colorado, Trinidad AP</t>
  </si>
  <si>
    <t>Connecticut, Bridgeport AP</t>
  </si>
  <si>
    <t>Connecticut, Hartford, Brainard Field</t>
  </si>
  <si>
    <t>Connecticut, New Haven AP</t>
  </si>
  <si>
    <t>Connecticut, New London</t>
  </si>
  <si>
    <t xml:space="preserve">Connecticut, Norwalk </t>
  </si>
  <si>
    <t xml:space="preserve">Connecticut, Norwich </t>
  </si>
  <si>
    <t xml:space="preserve">Connecticut, Waterbury </t>
  </si>
  <si>
    <t>Connecticut, Windsor Locks, Bradlet Field</t>
  </si>
  <si>
    <t>Delaware, Dover AFB</t>
  </si>
  <si>
    <t>Delaware, Wilmington AP</t>
  </si>
  <si>
    <t>District of Columbia, Andrews AFB</t>
  </si>
  <si>
    <t>District of Columbia, Reagan National AP</t>
  </si>
  <si>
    <t xml:space="preserve">Florida, Apalachicola </t>
  </si>
  <si>
    <t>Florida, Belle Glade</t>
  </si>
  <si>
    <t>Florida, Cape Kennedy AP</t>
  </si>
  <si>
    <t>Florida, Daytona Beach AP</t>
  </si>
  <si>
    <t>Florida, Fort Lauderdale</t>
  </si>
  <si>
    <t>Florida, Fort Myers AP</t>
  </si>
  <si>
    <t>Florida, Fort Pierce</t>
  </si>
  <si>
    <t>Florida, Gainsville AP</t>
  </si>
  <si>
    <t>Florida, Homestead, AFB</t>
  </si>
  <si>
    <t>Florida, Jacksonville AP</t>
  </si>
  <si>
    <t xml:space="preserve">Ohio, Defiance </t>
  </si>
  <si>
    <t>Ohio, Finlay AP</t>
  </si>
  <si>
    <t xml:space="preserve">Ohio, Fremont </t>
  </si>
  <si>
    <t xml:space="preserve">Ohio, Hamilton </t>
  </si>
  <si>
    <t xml:space="preserve">Ohio, Lancaster </t>
  </si>
  <si>
    <t xml:space="preserve">Ohio, Lima </t>
  </si>
  <si>
    <t>Ohio, Mansfield AP</t>
  </si>
  <si>
    <t xml:space="preserve">Ohio, Marion </t>
  </si>
  <si>
    <t xml:space="preserve">Ohio, Middletown </t>
  </si>
  <si>
    <t xml:space="preserve">Ohio, Newark </t>
  </si>
  <si>
    <t xml:space="preserve">Ohio, Norwalk </t>
  </si>
  <si>
    <t xml:space="preserve">Ohio, Portsmouth </t>
  </si>
  <si>
    <t>Ohio, Sandusky CO</t>
  </si>
  <si>
    <t xml:space="preserve">Ohio, Springfield </t>
  </si>
  <si>
    <t xml:space="preserve">Ohio, Stubenville </t>
  </si>
  <si>
    <t>Ohio, Toledo AP</t>
  </si>
  <si>
    <t xml:space="preserve">Ohio, Warren </t>
  </si>
  <si>
    <t xml:space="preserve">Ohio, Wooster </t>
  </si>
  <si>
    <t>Ohio, Youngstown AP</t>
  </si>
  <si>
    <t>Ohio, Zanesville AP</t>
  </si>
  <si>
    <t xml:space="preserve">Oklahoma, Ada </t>
  </si>
  <si>
    <t>Oklahoma, Altus AFB</t>
  </si>
  <si>
    <t xml:space="preserve">Oklahoma, Ardmore </t>
  </si>
  <si>
    <t xml:space="preserve">Oklahoma, Bartlesville </t>
  </si>
  <si>
    <t xml:space="preserve">Oklahoma, Chickasha </t>
  </si>
  <si>
    <t>Oklahoma, Enid-Vance AFB</t>
  </si>
  <si>
    <t>Oklahoma, Lawton AP</t>
  </si>
  <si>
    <t xml:space="preserve">Oklahoma, McAlester </t>
  </si>
  <si>
    <t>Oklahoma, Muskogee AP</t>
  </si>
  <si>
    <t>Oklahoma, Norman 1181</t>
  </si>
  <si>
    <t>Oklahoma, Oklahoma City AP</t>
  </si>
  <si>
    <t>Oklahoma, Oklahoma City, W.Rogers AP</t>
  </si>
  <si>
    <t>Oklahoma, Ponca City</t>
  </si>
  <si>
    <t xml:space="preserve">Oklahoma, Seminole </t>
  </si>
  <si>
    <t xml:space="preserve">Oklahoma, Stillwater </t>
  </si>
  <si>
    <t>Oklahoma, Tulsa AP</t>
  </si>
  <si>
    <t xml:space="preserve">Oklahoma, Woodward </t>
  </si>
  <si>
    <t xml:space="preserve">Oregon, Albany </t>
  </si>
  <si>
    <t>Oregon, Astoria AP</t>
  </si>
  <si>
    <t>0.50</t>
  </si>
  <si>
    <t>7RC-0.50</t>
  </si>
  <si>
    <t>BLG = (9.854E-03 x Amb + 9.279E-02) x Floor Area - 1.083E+01 x Amb - 1.037E+02</t>
  </si>
  <si>
    <t>BHLF = (-5.972E-08 x Amb + 5.764E-06) x Floor Area - 1.604E-03 x Amb + 1.555E-01</t>
  </si>
  <si>
    <t>Adjustment for Space Pressure</t>
  </si>
  <si>
    <t>Yes (crude defaults)</t>
  </si>
  <si>
    <t>No (neutral pressure only)</t>
  </si>
  <si>
    <t>Yes (use equation for actual air balance)</t>
  </si>
  <si>
    <t>Guidance for acceptable space pressure</t>
  </si>
  <si>
    <t>Not applicable</t>
  </si>
  <si>
    <t>Yes (improved)</t>
  </si>
  <si>
    <t>Door Traffic (man and overhead doors)</t>
  </si>
  <si>
    <t>Yes (limited options and TR guidance)</t>
  </si>
  <si>
    <t>Yes (more door and TR options, and improved TR guidance)</t>
  </si>
  <si>
    <t>Option to Use Blower Door test</t>
  </si>
  <si>
    <t>Internal Gain</t>
  </si>
  <si>
    <t>CLF Procedure to Convert Gain to Load</t>
  </si>
  <si>
    <t>Lights</t>
  </si>
  <si>
    <t>Incandescent and basic fluorescent</t>
  </si>
  <si>
    <t>Most types of lamps and ballasts in current use</t>
  </si>
  <si>
    <t>Space and cavity load for RA light fixture</t>
  </si>
  <si>
    <t>Inadequate and obsolete defaults</t>
  </si>
  <si>
    <t>Load fractions for four types of fixtures</t>
  </si>
  <si>
    <t>Occupancy</t>
  </si>
  <si>
    <t>Yes (obsolete)</t>
  </si>
  <si>
    <t>Yes (updated activities and Btuh values, animals and plants added)</t>
  </si>
  <si>
    <t>Modern Office Equipment (computers, etc.)</t>
  </si>
  <si>
    <t>Motors and Motor Driven Equipment</t>
  </si>
  <si>
    <t>Inadequate guidance</t>
  </si>
  <si>
    <t>No guidance</t>
  </si>
  <si>
    <t>Comprehensive guidance</t>
  </si>
  <si>
    <t>Kitchen and Food Service Equipment</t>
  </si>
  <si>
    <t>Updated and improved data base</t>
  </si>
  <si>
    <r>
      <t>Gains that Require Investigation</t>
    </r>
    <r>
      <rPr>
        <vertAlign val="superscript"/>
        <sz val="8"/>
        <rFont val="Arial"/>
        <family val="2"/>
      </rPr>
      <t xml:space="preserve"> Note 5</t>
    </r>
  </si>
  <si>
    <t>Summary of requirements and protocol</t>
  </si>
  <si>
    <t>Hot pipes, hot Surfaces and Steam Release</t>
  </si>
  <si>
    <t>Cold Pipes and Cold Display Cases</t>
  </si>
  <si>
    <t>Evaporation from Wet Surface</t>
  </si>
  <si>
    <t>Gains or Losses for Hygroscopic Material</t>
  </si>
  <si>
    <t>Validity</t>
  </si>
  <si>
    <t>Superseded by N5 Procedures</t>
  </si>
  <si>
    <t xml:space="preserve">N5 and MJ8 use the same model, which conforms to ASHRAE Standard 153 </t>
  </si>
  <si>
    <t>Sensible heating and sensible cooling</t>
  </si>
  <si>
    <t>Sensible heating, sensible cooling and latent cooling</t>
  </si>
  <si>
    <t>Four loosely defined locations</t>
  </si>
  <si>
    <t xml:space="preserve">Attic, ceiling or floor cavity, below slab </t>
  </si>
  <si>
    <t>Ten locations with differentiating attributes</t>
  </si>
  <si>
    <t>Ambient Temperature and Humidity</t>
  </si>
  <si>
    <t>No information</t>
  </si>
  <si>
    <t>Use of Return Air Plenum</t>
  </si>
  <si>
    <t>Leakage Categories</t>
  </si>
  <si>
    <t>No allowance for leakage</t>
  </si>
  <si>
    <t>Five categories from very tight to Standard 153 default for unsealed</t>
  </si>
  <si>
    <t>Duct Insulation R-Values</t>
  </si>
  <si>
    <t>None, R2, R4 and R6</t>
  </si>
  <si>
    <t>R2, R4, R6 and R8 (R0 requires use of computer model, or default to R2)</t>
  </si>
  <si>
    <t>Routing Geometry</t>
  </si>
  <si>
    <t>Radial/Spider or Orthogonal trunk and branch</t>
  </si>
  <si>
    <t>Airway Shape</t>
  </si>
  <si>
    <t>Round or Rectangular</t>
  </si>
  <si>
    <t>Grants Pass</t>
  </si>
  <si>
    <t xml:space="preserve">Hillsboro </t>
  </si>
  <si>
    <t>Klamath Falls AP</t>
  </si>
  <si>
    <t xml:space="preserve">Meacham </t>
  </si>
  <si>
    <t>Medford AP</t>
  </si>
  <si>
    <t>North Bend</t>
  </si>
  <si>
    <t>Pendleton AP</t>
  </si>
  <si>
    <t>Portland AP</t>
  </si>
  <si>
    <t>Portland CO</t>
  </si>
  <si>
    <t xml:space="preserve">Redmond </t>
  </si>
  <si>
    <t>Roseburg AP</t>
  </si>
  <si>
    <t>Salem AP</t>
  </si>
  <si>
    <t>RLL = Lighting load to return air from WKs E;   Other Loads = Other electric-mechanical gains to RA plenum</t>
  </si>
  <si>
    <t>Lighting HTM = (RLL + Other Loads) / Gross Ceiling Area</t>
  </si>
  <si>
    <t>Ceiling HTM = - Ceiling U-Value x (PT - IAT)</t>
  </si>
  <si>
    <t>Plen Loads</t>
  </si>
  <si>
    <t>DF Amb</t>
  </si>
  <si>
    <t>Use Worksheet RAP-1 to calcuate return air load and duct load.</t>
  </si>
  <si>
    <t>RA HTM = - 1.1 x ACF x ALF x (PT - IAT)</t>
  </si>
  <si>
    <t>Heat Balance for Cooling</t>
  </si>
  <si>
    <t>Case 1 – Space Pressurized</t>
  </si>
  <si>
    <t>CFMimb &gt; 0.30 x ICFM</t>
  </si>
  <si>
    <t>Case 2 – Neutral Pressure</t>
  </si>
  <si>
    <t>Case 3 – Negative pressure</t>
  </si>
  <si>
    <t>1) Res construction: Table 5A, 5B;  Com. construction: Table 5C, 5D
2) The blower door method may be used to estimate ICFM values.</t>
  </si>
  <si>
    <t>Option 2 — Blower Door Method</t>
  </si>
  <si>
    <t>and</t>
  </si>
  <si>
    <t xml:space="preserve">6) If there is no separate source of makeup air, makeup air flows through the outdoor air damper of the air handler that serves the space. The </t>
  </si>
  <si>
    <t>Color adjustment: Dark = 1.20; Light = 0.78</t>
  </si>
  <si>
    <t>Total hot surface load for Form N1, Line 12e =</t>
  </si>
  <si>
    <t>SG = Area x Factor     SCL = SG x CLF</t>
  </si>
  <si>
    <t>Cold Pipe Item
Table 6H-1</t>
  </si>
  <si>
    <t>Part 8 -- Cold Pipe Cooling Effect (Btuh)</t>
  </si>
  <si>
    <t>6H-1</t>
  </si>
  <si>
    <t>Regain</t>
  </si>
  <si>
    <t>(SRG)</t>
  </si>
  <si>
    <t>California, El Cajon</t>
  </si>
  <si>
    <t>California, El Centro AP</t>
  </si>
  <si>
    <t xml:space="preserve">California, Escondido </t>
  </si>
  <si>
    <t>California, Eureaka/Arcata AP</t>
  </si>
  <si>
    <t>California, Fairfield-Travis AFB</t>
  </si>
  <si>
    <t>California, Fresno AP</t>
  </si>
  <si>
    <t>California, Hamiltion AFB</t>
  </si>
  <si>
    <t>California, Laguna Beach</t>
  </si>
  <si>
    <t>Important: The Construction Number must always be included and precede the description for the Database entries</t>
  </si>
  <si>
    <t>French door adjustment = 0.70 (cooling only).</t>
  </si>
  <si>
    <t>Bay window factor = 1.15</t>
  </si>
  <si>
    <t>Ceiling HTM for Heating</t>
  </si>
  <si>
    <t>Garden window factor = 2.00</t>
  </si>
  <si>
    <t>DF= 1.0</t>
  </si>
  <si>
    <t>Part 2B -- HTM Adjusted for Overhang or External Sun Screen</t>
  </si>
  <si>
    <t>SCss</t>
  </si>
  <si>
    <t>HTMss</t>
  </si>
  <si>
    <t>GP Glass</t>
  </si>
  <si>
    <t>Ueff Summary</t>
  </si>
  <si>
    <t>SHGC Summary</t>
  </si>
  <si>
    <t>No = Blank</t>
  </si>
  <si>
    <t>Windows
&amp;
Glass
Doors</t>
  </si>
  <si>
    <t>Above
Grade
Walls</t>
  </si>
  <si>
    <t>Partition Walls</t>
  </si>
  <si>
    <t>Type of Exposure</t>
  </si>
  <si>
    <t>Panel Faces</t>
  </si>
  <si>
    <t>Net Area
or Length</t>
  </si>
  <si>
    <r>
      <t>►</t>
    </r>
    <r>
      <rPr>
        <b/>
        <sz val="8"/>
        <color indexed="8"/>
        <rFont val="Arial"/>
        <family val="2"/>
      </rPr>
      <t xml:space="preserve"> Return to N1 Form</t>
    </r>
  </si>
  <si>
    <r>
      <t>►</t>
    </r>
    <r>
      <rPr>
        <b/>
        <sz val="8"/>
        <rFont val="Arial"/>
        <family val="2"/>
      </rPr>
      <t xml:space="preserve"> Return to N1 Form</t>
    </r>
  </si>
  <si>
    <t>R-Value</t>
  </si>
  <si>
    <t>Base-case factors from table</t>
  </si>
  <si>
    <t>BHLF =</t>
  </si>
  <si>
    <t xml:space="preserve"> </t>
  </si>
  <si>
    <t>Leakage</t>
  </si>
  <si>
    <t>BSGF =</t>
  </si>
  <si>
    <t>value</t>
  </si>
  <si>
    <t>known</t>
  </si>
  <si>
    <t>Actual</t>
  </si>
  <si>
    <t>SqFT</t>
  </si>
  <si>
    <t xml:space="preserve">Occupants x DF from Worksheet E = </t>
  </si>
  <si>
    <t>Cycle/Dr/Hr</t>
  </si>
  <si>
    <t>Amb DB</t>
  </si>
  <si>
    <t>Wrks A</t>
  </si>
  <si>
    <t>PT value</t>
  </si>
  <si>
    <t>Diff.</t>
  </si>
  <si>
    <t>The estimated value for plenum temperature (PT) is correct if sum of HTMs = zero (range = ± 5.0).</t>
  </si>
  <si>
    <t>Outdoor-indoor grains difference value is for month selected for the load calculation is provided by Worksheet A.</t>
  </si>
  <si>
    <t>Tight cavity, leaky ceiling: Ambient Grains Difference = 0</t>
  </si>
  <si>
    <t>Leaky cavity, tight ceiling: Ambient Grains Difference = Grains difference from Worksheet A</t>
  </si>
  <si>
    <t xml:space="preserve">General default for ambient Grains = Worksheet A Grains / 2 </t>
  </si>
  <si>
    <t>Roof HTM for Heating</t>
  </si>
  <si>
    <t>Winter</t>
  </si>
  <si>
    <t xml:space="preserve"> &lt; Max damper Cfm for economiser damper.</t>
  </si>
  <si>
    <t xml:space="preserve">Measured or specified AH Supply Cfm = </t>
  </si>
  <si>
    <t xml:space="preserve"> &lt; yes = 1</t>
  </si>
  <si>
    <t>T</t>
  </si>
  <si>
    <t>Jackson AP</t>
  </si>
  <si>
    <t xml:space="preserve">Kalamazoo </t>
  </si>
  <si>
    <t>Lansing AP</t>
  </si>
  <si>
    <t>Marquette CO</t>
  </si>
  <si>
    <t>Marquette, Sawyer AFB</t>
  </si>
  <si>
    <t>Mount Clemens ANGB</t>
  </si>
  <si>
    <t>Mt. Pleasant</t>
  </si>
  <si>
    <t>Muskegon AP</t>
  </si>
  <si>
    <t>Oscoda, Wurtsmith AFB</t>
  </si>
  <si>
    <t xml:space="preserve">Pellston </t>
  </si>
  <si>
    <t xml:space="preserve">Pontiac </t>
  </si>
  <si>
    <t>Port Huron</t>
  </si>
  <si>
    <t>Saginaw AP</t>
  </si>
  <si>
    <t>Sault Ste. Marie AP</t>
  </si>
  <si>
    <t>Seul Choix Point</t>
  </si>
  <si>
    <t>Traverse City AP</t>
  </si>
  <si>
    <t xml:space="preserve">Yipsilanti </t>
  </si>
  <si>
    <t>Albert Lea</t>
  </si>
  <si>
    <t>Bemidji AP</t>
  </si>
  <si>
    <t xml:space="preserve">Brainerd </t>
  </si>
  <si>
    <t>Duluth AP</t>
  </si>
  <si>
    <t xml:space="preserve">Fairbault </t>
  </si>
  <si>
    <t>Fergus Falls</t>
  </si>
  <si>
    <t xml:space="preserve">Hibbing </t>
  </si>
  <si>
    <t>International Falls AP</t>
  </si>
  <si>
    <t>Mankato 1020</t>
  </si>
  <si>
    <t>Minneapolis/St. Paul AP</t>
  </si>
  <si>
    <t>Redwood Falls</t>
  </si>
  <si>
    <t>Rochester AP</t>
  </si>
  <si>
    <t>St. Cloud AP</t>
  </si>
  <si>
    <t xml:space="preserve">Tofte </t>
  </si>
  <si>
    <t xml:space="preserve">Virginia </t>
  </si>
  <si>
    <t xml:space="preserve">Willmar </t>
  </si>
  <si>
    <t xml:space="preserve">  &lt;  This relates to makeup air Cfm for air balance (see note 6).</t>
  </si>
  <si>
    <t xml:space="preserve">    occupants or makeup air, the damper leakage Cfm establishes the minimum value for VCFM.</t>
  </si>
  <si>
    <t>Above Grade Walls (Construction 12, 13 and 14)</t>
  </si>
  <si>
    <t>Dry-Bulb</t>
  </si>
  <si>
    <t>°F</t>
  </si>
  <si>
    <t>Grains</t>
  </si>
  <si>
    <t>MPH</t>
  </si>
  <si>
    <t>MCWB</t>
  </si>
  <si>
    <t>Percent</t>
  </si>
  <si>
    <t>Design</t>
  </si>
  <si>
    <t>Range</t>
  </si>
  <si>
    <t>~</t>
  </si>
  <si>
    <t>Worksheet A
Location and Design Conditions</t>
  </si>
  <si>
    <t>Latitude</t>
  </si>
  <si>
    <t>Elevation</t>
  </si>
  <si>
    <t>ACF</t>
  </si>
  <si>
    <t>Under Roof</t>
  </si>
  <si>
    <t>Under Floor</t>
  </si>
  <si>
    <t>CCU = Converted to Commercial Use; MC = Micro Climate; OH = Overhang; IS = Internal Shade; PA = Projected Assembly; S = Screen (insect); SS = Sun Screen; FR = Foreground Reflectance                                 LS = Light Shaft; CCS = Closed Crawl Space; TD = Temperature Difference; TR = Traffic Rate; CLF = Cooling Load Factor; ALF = Air Loading Factor</t>
  </si>
  <si>
    <t>Notes</t>
  </si>
  <si>
    <t xml:space="preserve">1) Standard 183 specifies requirements for load calculation procedures for buildings except low-rise residential buildings. </t>
  </si>
  <si>
    <t>Version N5ae 1.01 29MAR08</t>
  </si>
  <si>
    <t>Fixed duct error for square feet less than 3000</t>
  </si>
  <si>
    <t>Fixed lookup for table cities on Form N1</t>
  </si>
  <si>
    <t>Fixed shaded glass calculations</t>
  </si>
  <si>
    <t>Average Ambient Grains for Worksheet G</t>
  </si>
  <si>
    <t>Color</t>
  </si>
  <si>
    <t>Adjusted</t>
  </si>
  <si>
    <t xml:space="preserve">Roof </t>
  </si>
  <si>
    <t>Construction No.</t>
  </si>
  <si>
    <t>U-Value</t>
  </si>
  <si>
    <t>T4B-17A</t>
  </si>
  <si>
    <t>Adj</t>
  </si>
  <si>
    <t>CLTD</t>
  </si>
  <si>
    <t>HTM +</t>
  </si>
  <si>
    <t>Ceiling</t>
  </si>
  <si>
    <t>No Effect</t>
  </si>
  <si>
    <t xml:space="preserve">Leakage % for closed damper = </t>
  </si>
  <si>
    <t>Ceiling Partitions (any ceiling-partition exposed to outdoor humidity)</t>
  </si>
  <si>
    <t>Roof or</t>
  </si>
  <si>
    <t>Under</t>
  </si>
  <si>
    <t>Const. 20B Floors (see Tbl 4B CLTD Adjust. for Const. 20B )</t>
  </si>
  <si>
    <t>Midnight</t>
  </si>
  <si>
    <t>Hour of</t>
  </si>
  <si>
    <t>Day</t>
  </si>
  <si>
    <t>(ST)</t>
  </si>
  <si>
    <t>Factor</t>
  </si>
  <si>
    <t>Hour of Day Adjustment for Outdoor Temperature</t>
  </si>
  <si>
    <t>Unabridged Cooling Load Procedure</t>
  </si>
  <si>
    <t>Procedure (performed on Worksheet A):</t>
  </si>
  <si>
    <t>2) Use Table 1D-2 to obtain a HTA value forthe  hour of interest (Standard Time = Daylight Savings Time - 1).</t>
  </si>
  <si>
    <t>3) Outdoor drybulb temperature for month and hour of interest = OATmo,hr = OATmo - DRmo x HTA</t>
  </si>
  <si>
    <t>4) Numerical equivalents for Daily Range: Low = 10° F; Medium = 20 °F;  High = 30 °F</t>
  </si>
  <si>
    <t xml:space="preserve">Michigan, Kalamazoo </t>
  </si>
  <si>
    <t>Michigan, Lansing AP</t>
  </si>
  <si>
    <t>Michigan, Marquette CO</t>
  </si>
  <si>
    <t>Michigan, Marquette, Sawyer AFB</t>
  </si>
  <si>
    <t>Michigan, Mount Clemens ANGB</t>
  </si>
  <si>
    <t>Michigan, Mt. Pleasant</t>
  </si>
  <si>
    <t>Michigan, Muskegon AP</t>
  </si>
  <si>
    <t>Michigan, Oscoda, Wurtsmith AFB</t>
  </si>
  <si>
    <t xml:space="preserve">Michigan, Pellston </t>
  </si>
  <si>
    <t xml:space="preserve">Michigan, Pontiac </t>
  </si>
  <si>
    <t>Michigan, Port Huron</t>
  </si>
  <si>
    <t>Michigan, Saginaw AP</t>
  </si>
  <si>
    <t>Michigan, Sault Ste. Marie AP</t>
  </si>
  <si>
    <t>Michigan, Seul Choix Point</t>
  </si>
  <si>
    <t>Michigan, Traverse City AP</t>
  </si>
  <si>
    <t xml:space="preserve">Michigan, Yipsilanti </t>
  </si>
  <si>
    <t>Minnesota, Albert Lea</t>
  </si>
  <si>
    <t>Minnesota, Alexandria AP</t>
  </si>
  <si>
    <t>Minnesota, Bemidji AP</t>
  </si>
  <si>
    <t xml:space="preserve">Minnesota, Brainerd </t>
  </si>
  <si>
    <t>Minnesota, Duluth AP</t>
  </si>
  <si>
    <t xml:space="preserve">Minnesota, Fairbault </t>
  </si>
  <si>
    <t>Minnesota, Fergus Falls</t>
  </si>
  <si>
    <t xml:space="preserve">Minnesota, Hibbing </t>
  </si>
  <si>
    <t>Minnesota, International Falls AP</t>
  </si>
  <si>
    <t>Minnesota, Mankato 1020</t>
  </si>
  <si>
    <t>Minnesota, Minneapolis/St. Paul AP</t>
  </si>
  <si>
    <t>Minnesota, Redwood Falls</t>
  </si>
  <si>
    <t>Minnesota, Rochester AP</t>
  </si>
  <si>
    <t>Minnesota, St. Cloud AP</t>
  </si>
  <si>
    <t xml:space="preserve">Minnesota, Tofte </t>
  </si>
  <si>
    <t xml:space="preserve">Minnesota, Virginia </t>
  </si>
  <si>
    <t xml:space="preserve">Minnesota, Willmar </t>
  </si>
  <si>
    <t xml:space="preserve">Minnesota, Winona </t>
  </si>
  <si>
    <t>Mississippi, Biloxi, Keesler AFB</t>
  </si>
  <si>
    <t xml:space="preserve">Mississippi, Clarksdale </t>
  </si>
  <si>
    <t>Mississippi, Columbus AFB</t>
  </si>
  <si>
    <t>Mississippi, Greenville AFB</t>
  </si>
  <si>
    <t xml:space="preserve">Mississippi, Greenwood </t>
  </si>
  <si>
    <t xml:space="preserve">Mississippi, Hattiesburg </t>
  </si>
  <si>
    <t>Mississippi, Jackson AP</t>
  </si>
  <si>
    <t xml:space="preserve">Mississippi, Laurel </t>
  </si>
  <si>
    <t>Mississippi, McComb AP</t>
  </si>
  <si>
    <t>Mississippi, Meridian AP</t>
  </si>
  <si>
    <t xml:space="preserve">Mississippi, Natchez </t>
  </si>
  <si>
    <t xml:space="preserve">Mississippi, Tupelo </t>
  </si>
  <si>
    <t>Mississippi, Vicksburg CO</t>
  </si>
  <si>
    <t>Missouri, Cape Girardeau</t>
  </si>
  <si>
    <t>Missouri, Columbia AP</t>
  </si>
  <si>
    <t>Missouri, Farmington AP</t>
  </si>
  <si>
    <t xml:space="preserve">Missouri, Hannibal </t>
  </si>
  <si>
    <t>Missouri, Jefferson City</t>
  </si>
  <si>
    <t>Missouri, Joplin AP</t>
  </si>
  <si>
    <t>Missouri, Kansas City AP</t>
  </si>
  <si>
    <t>Missouri, Kirksville AP</t>
  </si>
  <si>
    <t xml:space="preserve">Missouri, Mexico </t>
  </si>
  <si>
    <t xml:space="preserve">Missouri, Moberly </t>
  </si>
  <si>
    <t>Missouri, Poplar Bluff</t>
  </si>
  <si>
    <t xml:space="preserve">Missouri, Rolla </t>
  </si>
  <si>
    <t>Missouri, St. Joseph AP</t>
  </si>
  <si>
    <t>Missouri, St. Louis AP</t>
  </si>
  <si>
    <t>Missouri, St. Louis CO</t>
  </si>
  <si>
    <t>Missouri, Sedalia, Whiteman AFB</t>
  </si>
  <si>
    <t xml:space="preserve">Missouri, Sikeston </t>
  </si>
  <si>
    <t xml:space="preserve">Missouri, Spickard/Trenton </t>
  </si>
  <si>
    <t>Missouri, Springfield AP</t>
  </si>
  <si>
    <t>Missouri, Warrensburg, Whiteman AFB</t>
  </si>
  <si>
    <t>Montana, Billings AP</t>
  </si>
  <si>
    <t xml:space="preserve">Montana, Bozeman </t>
  </si>
  <si>
    <t>Montana, Butte AP</t>
  </si>
  <si>
    <t>Montana, Cut Bank AP</t>
  </si>
  <si>
    <t>Montana, Glasgow AP</t>
  </si>
  <si>
    <t xml:space="preserve">Montana, Glendive </t>
  </si>
  <si>
    <t>Montana, Great Falls AP</t>
  </si>
  <si>
    <t>Montana, Great Falls, Malmstrom AFB</t>
  </si>
  <si>
    <t xml:space="preserve">Montana, Havre </t>
  </si>
  <si>
    <t>Montana, Helena AP</t>
  </si>
  <si>
    <t>Montana, Kalispell AP</t>
  </si>
  <si>
    <t>Montana, Lewiston AP</t>
  </si>
  <si>
    <t>1A-cuf-c</t>
  </si>
  <si>
    <t>Use Tables 3D-2 and 3D-3 to obtain horizontal and directional values for PSF and CLF. Use the CLF for no internal shade or for internal shade, as applicable. ISC values from Table 3D-4 may be used for skylights.</t>
  </si>
  <si>
    <r>
      <t xml:space="preserve">SolH = Cos </t>
    </r>
    <r>
      <rPr>
        <sz val="8"/>
        <rFont val="Arial"/>
        <family val="2"/>
      </rPr>
      <t>Θ</t>
    </r>
    <r>
      <rPr>
        <i/>
        <sz val="8"/>
        <rFont val="Arial"/>
        <family val="2"/>
      </rPr>
      <t xml:space="preserve"> x (PSF x CLF) Horizontal</t>
    </r>
  </si>
  <si>
    <r>
      <t xml:space="preserve">SolV = Sin </t>
    </r>
    <r>
      <rPr>
        <sz val="8"/>
        <rFont val="Arial"/>
        <family val="2"/>
      </rPr>
      <t>Θ</t>
    </r>
    <r>
      <rPr>
        <i/>
        <sz val="8"/>
        <rFont val="Arial"/>
        <family val="2"/>
      </rPr>
      <t xml:space="preserve"> x (PSF x CLF) Vertical</t>
    </r>
  </si>
  <si>
    <t>Heat HTM = Ueff x HTD</t>
  </si>
  <si>
    <t>Exposed Floor – Construction #20</t>
  </si>
  <si>
    <t>k</t>
  </si>
  <si>
    <t>l</t>
  </si>
  <si>
    <t>m</t>
  </si>
  <si>
    <t>n</t>
  </si>
  <si>
    <t xml:space="preserve">Total moisture migration load for Form N1 = </t>
  </si>
  <si>
    <t>Enter</t>
  </si>
  <si>
    <t>for Bare</t>
  </si>
  <si>
    <t>Hot Water or Steam Pipe</t>
  </si>
  <si>
    <t>Chilled Water Pipe</t>
  </si>
  <si>
    <t xml:space="preserve">Total = </t>
  </si>
  <si>
    <t>See note</t>
  </si>
  <si>
    <t>Note: If item has a sun screen, AHTMD = SCss from Part 2B. If no sun screen, use AHTMD from part 1.</t>
  </si>
  <si>
    <t>Rs  = Installed area / default area =</t>
  </si>
  <si>
    <t>Direction</t>
  </si>
  <si>
    <t>Rr  = Installed area / default area =</t>
  </si>
  <si>
    <t>Part 5) Effective Loss and Gain Factors</t>
  </si>
  <si>
    <t xml:space="preserve"> EHLF = BHLF x WIFloss x  LFCloss x Ks x Rs = </t>
  </si>
  <si>
    <t xml:space="preserve">EHLF = BHLF x WIFloss x LFCloss x Kr x Rr = </t>
  </si>
  <si>
    <t xml:space="preserve">ESGF = BSFG x WIFgain x LCFgain x Ks x Rs = </t>
  </si>
  <si>
    <t>Cool HTM = (SolH + SolV) x (SHGC / 0.87) x ISC</t>
  </si>
  <si>
    <t>+ Ueff x (CTD +15)</t>
  </si>
  <si>
    <t>ISC for no internal shade = 1.0</t>
  </si>
  <si>
    <t>Export to Form N1: Heating HTMs, Cooling HTMs; and rough opening areas (Curb L x W).</t>
  </si>
  <si>
    <t>from</t>
  </si>
  <si>
    <t>ALF for Duct Table</t>
  </si>
  <si>
    <t>Ducts</t>
  </si>
  <si>
    <t>Duct Insulation</t>
  </si>
  <si>
    <t>Leakage Class</t>
  </si>
  <si>
    <r>
      <t>►</t>
    </r>
    <r>
      <rPr>
        <b/>
        <sz val="10"/>
        <color indexed="8"/>
        <rFont val="Arial"/>
        <family val="2"/>
      </rPr>
      <t>Return to N1 Form</t>
    </r>
  </si>
  <si>
    <r>
      <t>►</t>
    </r>
    <r>
      <rPr>
        <b/>
        <sz val="8"/>
        <color indexed="8"/>
        <rFont val="Arial"/>
        <family val="2"/>
      </rPr>
      <t xml:space="preserve"> Return to N1 Form</t>
    </r>
  </si>
  <si>
    <t>Ambient Temperature for Duct Location (Heating)</t>
  </si>
  <si>
    <t>Ambient Temperature for Duct Location (Cooling)</t>
  </si>
  <si>
    <t>Exhaust</t>
  </si>
  <si>
    <t>Hooded</t>
  </si>
  <si>
    <t>Yes = 1</t>
  </si>
  <si>
    <t>Curb Size</t>
  </si>
  <si>
    <t>Defaults for GP Glass</t>
  </si>
  <si>
    <t>Table 2B-4</t>
  </si>
  <si>
    <t>Table 2A</t>
  </si>
  <si>
    <t>Curb and Light Shaft Detals</t>
  </si>
  <si>
    <t>and R-value</t>
  </si>
  <si>
    <t>Light Shaft</t>
  </si>
  <si>
    <t>Upanel</t>
  </si>
  <si>
    <t>Assembly Performance</t>
  </si>
  <si>
    <t>Glazing Performance</t>
  </si>
  <si>
    <t>Table 2C #8 or #9</t>
  </si>
  <si>
    <t>Defaults for CU Glass</t>
  </si>
  <si>
    <t>NFRC Rating</t>
  </si>
  <si>
    <t>Includes</t>
  </si>
  <si>
    <t>Curb = 1</t>
  </si>
  <si>
    <t>Code ID</t>
  </si>
  <si>
    <t>5F-ssd-nv Single Swinging Door (21 SqFt), no vestibule</t>
  </si>
  <si>
    <t>5F-ssd-v Single Swinging Door (21 SqFt), with vestibule</t>
  </si>
  <si>
    <t>5F-sad-nv Single Automatic Door (21 SqFt), no vestibule</t>
  </si>
  <si>
    <t>5F-sad-v Single Automatic Door (21 SqFt), with vestibule</t>
  </si>
  <si>
    <t>5F-dsf-nv Double Swinging Door (42 SqFt), no vestibule</t>
  </si>
  <si>
    <t>5F-dsd-v Double Swinging Door (42 SqFt), with vestibule</t>
  </si>
  <si>
    <t>5F-dad-nv Double Automatic Door (42 SqFt), no vestibule</t>
  </si>
  <si>
    <t>5F-dad-v Double Automatic Door (42 SqFt), with vestibule</t>
  </si>
  <si>
    <t>5F-mrd Manual revolving Door</t>
  </si>
  <si>
    <t>5F-ard Automatic Revolving Door</t>
  </si>
  <si>
    <t>Code Description</t>
  </si>
  <si>
    <t>Door Traffic for Normal Use Door</t>
  </si>
  <si>
    <t>CLG CFM</t>
  </si>
  <si>
    <t>HTG CFM</t>
  </si>
  <si>
    <t>RPM</t>
  </si>
  <si>
    <r>
      <t>►</t>
    </r>
    <r>
      <rPr>
        <b/>
        <sz val="8"/>
        <color indexed="8"/>
        <rFont val="Arial"/>
        <family val="2"/>
      </rPr>
      <t>Return to N1 Form</t>
    </r>
  </si>
  <si>
    <t>H-CFM/Sq. Ft.</t>
  </si>
  <si>
    <t>C-CFM/Sq. Ft.</t>
  </si>
  <si>
    <t>Overhead Door Infiltration</t>
  </si>
  <si>
    <t>TR = Operating Cycles Per Door Per Hour</t>
  </si>
  <si>
    <t>TR = Total Entrances and Exits Per Door Per Hour</t>
  </si>
  <si>
    <t>Version N5ae 1.04 04NOV08</t>
  </si>
  <si>
    <t>Grainvdh</t>
  </si>
  <si>
    <t>Dry bulb</t>
  </si>
  <si>
    <t>Dehumidifier</t>
  </si>
  <si>
    <t>Average Ambient Temperature for Worksheet G</t>
  </si>
  <si>
    <t>Average Return Air Loads for Worksheet G1</t>
  </si>
  <si>
    <t xml:space="preserve">Above grade volume CuFt = </t>
  </si>
  <si>
    <t xml:space="preserve">Carbondale </t>
  </si>
  <si>
    <t xml:space="preserve">Champaign/Urbana </t>
  </si>
  <si>
    <t>Chicago, Meigs Field</t>
  </si>
  <si>
    <t>Chicago, Midway AP</t>
  </si>
  <si>
    <t>Chicago, O’Hare AP</t>
  </si>
  <si>
    <t>Chicago CO</t>
  </si>
  <si>
    <t xml:space="preserve">Danville </t>
  </si>
  <si>
    <t xml:space="preserve">Dixon </t>
  </si>
  <si>
    <t xml:space="preserve">Elgin </t>
  </si>
  <si>
    <t xml:space="preserve">Freeport </t>
  </si>
  <si>
    <t xml:space="preserve">Galesburg </t>
  </si>
  <si>
    <t>Glenview, NAS</t>
  </si>
  <si>
    <t xml:space="preserve">Greenville </t>
  </si>
  <si>
    <t xml:space="preserve">Joliet </t>
  </si>
  <si>
    <t xml:space="preserve">Kankakee </t>
  </si>
  <si>
    <t xml:space="preserve">LaSalle/Peru </t>
  </si>
  <si>
    <t xml:space="preserve">Macomb </t>
  </si>
  <si>
    <t xml:space="preserve">Marseilles </t>
  </si>
  <si>
    <t>Moline, Davenport AP</t>
  </si>
  <si>
    <t>Mt. Vernon</t>
  </si>
  <si>
    <t>Peoria AP</t>
  </si>
  <si>
    <t>Quincy AP</t>
  </si>
  <si>
    <t>Rantoul, Chanute AFB</t>
  </si>
  <si>
    <t xml:space="preserve">Rockford </t>
  </si>
  <si>
    <t>Springfield AP</t>
  </si>
  <si>
    <t xml:space="preserve">Waukegan </t>
  </si>
  <si>
    <t>West Chicago</t>
  </si>
  <si>
    <t xml:space="preserve">Anderson </t>
  </si>
  <si>
    <t xml:space="preserve">Bedford </t>
  </si>
  <si>
    <t>Columbus, Bakalar AFB</t>
  </si>
  <si>
    <t xml:space="preserve">Crawfordsville </t>
  </si>
  <si>
    <t>Evansville AP</t>
  </si>
  <si>
    <t>Fort Wayne AP</t>
  </si>
  <si>
    <t>Goshen AP</t>
  </si>
  <si>
    <t xml:space="preserve">Hobart </t>
  </si>
  <si>
    <t xml:space="preserve">Huntington </t>
  </si>
  <si>
    <t>Indianapolis AP (S)</t>
  </si>
  <si>
    <t xml:space="preserve">    For heat recovery: T1heat = To heat + SERheating x HTD;  T1cool  = To cool - SERcooling x CTD;  DGgrains = DGrains x (1.00 - LER)</t>
  </si>
  <si>
    <t xml:space="preserve">    For ventilation dehumidifier: T1heat = LATVDH for heating; T1cool = LATVDH for cooling; DGgrains = GrainVDH - Table 12 Grains</t>
  </si>
  <si>
    <t xml:space="preserve">Space </t>
  </si>
  <si>
    <t xml:space="preserve">Form N1 Cooling Load </t>
  </si>
  <si>
    <t>Current</t>
  </si>
  <si>
    <t xml:space="preserve"> &lt; Avg PT for Wrk G </t>
  </si>
  <si>
    <t>Cool HTMD = PSF x CLF x (SHGC / 0.87) x ISC + U x CTD</t>
  </si>
  <si>
    <t>AHTMD = Cool HTMD x bug screen or projection adjustment</t>
  </si>
  <si>
    <t>AHTMN = Cool HTMN x bug screen or projection adjustment</t>
  </si>
  <si>
    <t>See Table 3E-3 for foreground reflectance option</t>
  </si>
  <si>
    <t>Default ISC Values:</t>
  </si>
  <si>
    <t>Weighted average Grains for latent cooling (Btuh)</t>
  </si>
  <si>
    <t>Worksheet D3</t>
  </si>
  <si>
    <t>Ceiling and Floor Load for Return Air Plenum Under a Roof and Under a Conditioned Space</t>
  </si>
  <si>
    <t>Return Air Plenum Under a Roof and Under a Conditioned Space</t>
  </si>
  <si>
    <t>Dead Air Cavity Under a Roof and Under a Conditioned Space</t>
  </si>
  <si>
    <t>Const. 17C &amp; 17D (ceiling under RA cavity) = Wrks D1 or D2</t>
  </si>
  <si>
    <t>Floors (Construction 17D, 19, 20, 21 and 22)</t>
  </si>
  <si>
    <t>Const. 20A Floors (see Tbl 4A CLTD Adjust. for Const. 18 )</t>
  </si>
  <si>
    <t>Under and insulated floor, no insulation on crawlspace walls</t>
  </si>
  <si>
    <t>AGV</t>
  </si>
  <si>
    <t>(CuFt)</t>
  </si>
  <si>
    <t>CFM</t>
  </si>
  <si>
    <t>Fireplace</t>
  </si>
  <si>
    <t>(Note 2)</t>
  </si>
  <si>
    <t>Assignment of Ceiling and Return Air Loads</t>
  </si>
  <si>
    <t>M</t>
  </si>
  <si>
    <t>None</t>
  </si>
  <si>
    <r>
      <t>10</t>
    </r>
    <r>
      <rPr>
        <sz val="10"/>
        <rFont val="Verdana"/>
        <family val="2"/>
      </rPr>
      <t>°</t>
    </r>
    <r>
      <rPr>
        <sz val="10"/>
        <rFont val="Arial"/>
        <family val="2"/>
      </rPr>
      <t>,Dark,23 S/I</t>
    </r>
  </si>
  <si>
    <r>
      <t>10</t>
    </r>
    <r>
      <rPr>
        <sz val="10"/>
        <rFont val="Verdana"/>
        <family val="2"/>
      </rPr>
      <t>°</t>
    </r>
    <r>
      <rPr>
        <sz val="10"/>
        <rFont val="Arial"/>
        <family val="2"/>
      </rPr>
      <t>,Light,23 S/I</t>
    </r>
  </si>
  <si>
    <r>
      <t>10</t>
    </r>
    <r>
      <rPr>
        <sz val="10"/>
        <rFont val="Verdana"/>
        <family val="2"/>
      </rPr>
      <t>°</t>
    </r>
    <r>
      <rPr>
        <sz val="10"/>
        <rFont val="Arial"/>
        <family val="2"/>
      </rPr>
      <t>,Dark,17 S/I</t>
    </r>
  </si>
  <si>
    <t>20°,Dark,23 S/I</t>
  </si>
  <si>
    <t>20°,Light,23 S/I</t>
  </si>
  <si>
    <t>20°,Dark,17 S/I</t>
  </si>
  <si>
    <t>30°,Dark,23 S/I</t>
  </si>
  <si>
    <t>30°,Light,23 S/I</t>
  </si>
  <si>
    <t>30°,Dark,17 S/I</t>
  </si>
  <si>
    <t>40°,Dark,23 S/I</t>
  </si>
  <si>
    <t>40°,Light,23 S/I</t>
  </si>
  <si>
    <t>40°,Dark,17 S/I</t>
  </si>
  <si>
    <t>50°,Dark,23 S/I</t>
  </si>
  <si>
    <t>50°,Light,23 S/I</t>
  </si>
  <si>
    <t>50°,Dark,17 S/I</t>
  </si>
  <si>
    <r>
      <t>Blinds @ 45</t>
    </r>
    <r>
      <rPr>
        <sz val="10"/>
        <rFont val="Verdana"/>
        <family val="2"/>
      </rPr>
      <t>°</t>
    </r>
  </si>
  <si>
    <t>Shading</t>
  </si>
  <si>
    <t>Const. Code</t>
  </si>
  <si>
    <t>Return Duct Load</t>
  </si>
  <si>
    <t>14F11-0-m</t>
  </si>
  <si>
    <t>12B-0s-m</t>
  </si>
  <si>
    <t>1c-cuf-c</t>
  </si>
  <si>
    <t>17</t>
  </si>
  <si>
    <t>11</t>
  </si>
  <si>
    <t>12</t>
  </si>
  <si>
    <t>13</t>
  </si>
  <si>
    <t>14</t>
  </si>
  <si>
    <t>16</t>
  </si>
  <si>
    <t>18</t>
  </si>
  <si>
    <t xml:space="preserve"> Apply = 1</t>
  </si>
  <si>
    <t>MML = (Net Area / 100) x Perm Value x ΔGrains</t>
  </si>
  <si>
    <t>Wks A ΔGr</t>
  </si>
  <si>
    <t>Floor load for cooling (Btuh) = Floor HTM for cooling x Floor area</t>
  </si>
  <si>
    <t>The ceiling and floor loads are space loads for two different spaces (see assignment note below).</t>
  </si>
  <si>
    <t>For Insulated Pipe: SG = 1.1 x Length x TD x Factor      SCL = SG x CLF</t>
  </si>
  <si>
    <t>Part 9 -- Cold Storage Case Cooling Effect (Btuh)</t>
  </si>
  <si>
    <t>6H-2</t>
  </si>
  <si>
    <t>Part 1 -- Construction Data</t>
  </si>
  <si>
    <t>Attributes of skylight glazing assembly, curb and light shaft components.</t>
  </si>
  <si>
    <t>CTD + 15</t>
  </si>
  <si>
    <t>Default</t>
  </si>
  <si>
    <t>Ueff</t>
  </si>
  <si>
    <t>Curb</t>
  </si>
  <si>
    <t xml:space="preserve"> H (In)</t>
  </si>
  <si>
    <t>L x W</t>
  </si>
  <si>
    <t>Size</t>
  </si>
  <si>
    <t>U-Curb</t>
  </si>
  <si>
    <t>U-Shaft</t>
  </si>
  <si>
    <t>Equations for Part 1 and Part 2</t>
  </si>
  <si>
    <t xml:space="preserve">The items entered here can be selected later from a custom list of your component inputs reducing the time to sort  </t>
  </si>
  <si>
    <t xml:space="preserve">thru hundreds of possible choices that may never be used in your area.  The database can have items added or </t>
  </si>
  <si>
    <r>
      <t xml:space="preserve">changed as the need arises.  </t>
    </r>
    <r>
      <rPr>
        <b/>
        <sz val="10"/>
        <rFont val="Arial"/>
        <family val="2"/>
      </rPr>
      <t>Note: Database entries must correspond to the design conditions selected in step 1.</t>
    </r>
  </si>
  <si>
    <t>calculation. (Example: MN5 Nashville TN 05NOV07.xls)  You can create as many templates as needed</t>
  </si>
  <si>
    <t>for possible different design conditions or construction methods.</t>
  </si>
  <si>
    <r>
      <t>Step 3:</t>
    </r>
    <r>
      <rPr>
        <sz val="10"/>
        <rFont val="Arial"/>
        <family val="2"/>
      </rPr>
      <t xml:space="preserve"> Save the spreadsheet now with a unique name(s) that will be used as your template to start a new load</t>
    </r>
  </si>
  <si>
    <t>of the Form N1 tab.</t>
  </si>
  <si>
    <r>
      <t xml:space="preserve">Note: All </t>
    </r>
    <r>
      <rPr>
        <b/>
        <sz val="10"/>
        <rFont val="Arial"/>
        <family val="2"/>
      </rPr>
      <t>Yellow</t>
    </r>
    <r>
      <rPr>
        <sz val="10"/>
        <rFont val="Arial"/>
        <family val="2"/>
      </rPr>
      <t xml:space="preserve"> cells are for data entry, </t>
    </r>
    <r>
      <rPr>
        <b/>
        <sz val="10"/>
        <rFont val="Arial"/>
        <family val="2"/>
      </rPr>
      <t>Blue</t>
    </r>
    <r>
      <rPr>
        <sz val="10"/>
        <rFont val="Arial"/>
        <family val="2"/>
      </rPr>
      <t xml:space="preserve"> cells contain formulas, and </t>
    </r>
    <r>
      <rPr>
        <b/>
        <sz val="10"/>
        <rFont val="Arial"/>
        <family val="2"/>
      </rPr>
      <t>Green</t>
    </r>
    <r>
      <rPr>
        <sz val="10"/>
        <rFont val="Arial"/>
        <family val="2"/>
      </rPr>
      <t xml:space="preserve"> cells contain descriptive text.</t>
    </r>
  </si>
  <si>
    <t>The default indoor design conditions are pre-set but may be changed</t>
  </si>
  <si>
    <t>Enter the Project Name, Square Feet and Above Grade Volume  of  conditioned space</t>
  </si>
  <si>
    <t>Select the Design Hour of Day</t>
  </si>
  <si>
    <r>
      <t>Step 4:</t>
    </r>
    <r>
      <rPr>
        <sz val="10"/>
        <rFont val="Arial"/>
        <family val="2"/>
      </rPr>
      <t xml:space="preserve"> Now you are ready to start a new load calculation.  Open the saved template from Step 3 and fill out the header portion</t>
    </r>
  </si>
  <si>
    <t>●</t>
  </si>
  <si>
    <r>
      <t>Lights:</t>
    </r>
    <r>
      <rPr>
        <sz val="10"/>
        <rFont val="Arial"/>
        <family val="2"/>
      </rPr>
      <t xml:space="preserve"> Enter the quantity, watts and diversity factor</t>
    </r>
  </si>
  <si>
    <r>
      <t>Occupants:</t>
    </r>
    <r>
      <rPr>
        <sz val="10"/>
        <rFont val="Arial"/>
        <family val="2"/>
      </rPr>
      <t xml:space="preserve"> Enter the quantity, activity level and diversity factor</t>
    </r>
  </si>
  <si>
    <r>
      <t>Plants:</t>
    </r>
    <r>
      <rPr>
        <sz val="10"/>
        <rFont val="Arial"/>
        <family val="2"/>
      </rPr>
      <t xml:space="preserve"> Enter the quantity and size</t>
    </r>
  </si>
  <si>
    <r>
      <t>Blower Heat:</t>
    </r>
    <r>
      <rPr>
        <sz val="10"/>
        <rFont val="Arial"/>
        <family val="2"/>
      </rPr>
      <t xml:space="preserve"> Select blow thru or draw thru and if additional return fan if applicable</t>
    </r>
  </si>
  <si>
    <t>estimated heating and cooling ambient temperatures for specific duct location</t>
  </si>
  <si>
    <t>Partition Walls (for attached garage or any unconditioned space exposed to the outdoor humidity)</t>
  </si>
  <si>
    <t>Table Used for this Calculation &gt;</t>
  </si>
  <si>
    <t>Wind</t>
  </si>
  <si>
    <t>Velocity</t>
  </si>
  <si>
    <t>(MPH)Total</t>
  </si>
  <si>
    <t>Idaho, Boise AP</t>
  </si>
  <si>
    <t xml:space="preserve">Idaho, Burley </t>
  </si>
  <si>
    <t>Idaho, Coeur D’Alene AP</t>
  </si>
  <si>
    <t>Idaho, Idaho Falls AP</t>
  </si>
  <si>
    <t xml:space="preserve">Idaho, Kamiah </t>
  </si>
  <si>
    <t>Idaho, Lewiston AP</t>
  </si>
  <si>
    <t xml:space="preserve">Idaho, Moscow </t>
  </si>
  <si>
    <t>Idaho, Mountain Home AFB</t>
  </si>
  <si>
    <t xml:space="preserve">Idaho, Mullan </t>
  </si>
  <si>
    <t>Idaho, Pocatello AP</t>
  </si>
  <si>
    <t>Idaho, Twin Falls AP</t>
  </si>
  <si>
    <t xml:space="preserve">Illinois, Aurora </t>
  </si>
  <si>
    <t>Illinois, Belleville, Scott AFB</t>
  </si>
  <si>
    <t xml:space="preserve">Illinois, Bloomington </t>
  </si>
  <si>
    <t xml:space="preserve">Illinois, Carbondale </t>
  </si>
  <si>
    <t xml:space="preserve">Illinois, Champaign/Urbana </t>
  </si>
  <si>
    <t>Illinois, Chicago, Meigs Field</t>
  </si>
  <si>
    <t>Illinois, Chicago, Midway AP</t>
  </si>
  <si>
    <t>Illinois, Chicago, O’Hare AP</t>
  </si>
  <si>
    <t>Illinois, Chicago CO</t>
  </si>
  <si>
    <t xml:space="preserve">Illinois, Danville </t>
  </si>
  <si>
    <t xml:space="preserve">Illinois, Decatur </t>
  </si>
  <si>
    <t xml:space="preserve">Illinois, Dixon </t>
  </si>
  <si>
    <t xml:space="preserve">Illinois, Elgin </t>
  </si>
  <si>
    <t xml:space="preserve">Illinois, Freeport </t>
  </si>
  <si>
    <t xml:space="preserve">Illinois, Galesburg </t>
  </si>
  <si>
    <t>Illinois, Glenview, NAS</t>
  </si>
  <si>
    <t xml:space="preserve">Illinois, Greenville </t>
  </si>
  <si>
    <t xml:space="preserve">Illinois, Joliet </t>
  </si>
  <si>
    <t xml:space="preserve">Illinois, Kankakee </t>
  </si>
  <si>
    <t xml:space="preserve">Illinois, LaSalle/Peru </t>
  </si>
  <si>
    <t xml:space="preserve">Illinois, Macomb </t>
  </si>
  <si>
    <t xml:space="preserve">Illinois, Marseilles </t>
  </si>
  <si>
    <t>Illinois, Moline, Davenport AP</t>
  </si>
  <si>
    <t>Illinois, Mt. Vernon</t>
  </si>
  <si>
    <t>Illinois, Peoria AP</t>
  </si>
  <si>
    <t>Illinois, Quincy AP</t>
  </si>
  <si>
    <t>Illinois, Rantoul, Chanute AFB</t>
  </si>
  <si>
    <t xml:space="preserve">Default blower power:      Supply Fan Load (Btuh) = 0.050 x Block space load = </t>
  </si>
  <si>
    <t xml:space="preserve">   Return Fan (Btuh) = 0.025 x Block space load = </t>
  </si>
  <si>
    <t>Blower HP and Motor Efficiency</t>
  </si>
  <si>
    <t>from Manufacturer's</t>
  </si>
  <si>
    <t>For Wrk G and G1 (RAP-3 not used)</t>
  </si>
  <si>
    <t xml:space="preserve"> &lt; Aprox CT</t>
  </si>
  <si>
    <t xml:space="preserve"> &lt; ∆ Grains</t>
  </si>
  <si>
    <t xml:space="preserve"> &lt; Space db</t>
  </si>
  <si>
    <t xml:space="preserve"> &lt; Aprox PT for Wrk D3, when used</t>
  </si>
  <si>
    <t xml:space="preserve"> &lt; PTDC for Worksheet D</t>
  </si>
  <si>
    <t xml:space="preserve"> &lt; PTDC for Worksheet D if D3 not used</t>
  </si>
  <si>
    <t xml:space="preserve"> &lt; Avg CT for Wrk G </t>
  </si>
  <si>
    <t xml:space="preserve"> &lt; Avg ∆ Grains for Wrk G</t>
  </si>
  <si>
    <t>Actual SqFt = floor area under roof for DAC-1 and floor area under conditioned space for DAC-2</t>
  </si>
  <si>
    <t>Virginia, Newport News</t>
  </si>
  <si>
    <t>Virginia, Norfolk AP</t>
  </si>
  <si>
    <t>Virginia, Oceana, NAS</t>
  </si>
  <si>
    <t xml:space="preserve">Virginia, Petersburg </t>
  </si>
  <si>
    <t>Virginia, Quantico MCAS</t>
  </si>
  <si>
    <t>Virginia, Richmond AP</t>
  </si>
  <si>
    <t>Virginia, Roanoke AP</t>
  </si>
  <si>
    <t xml:space="preserve">Virginia, Staunton </t>
  </si>
  <si>
    <t xml:space="preserve">Virginia, Sterling </t>
  </si>
  <si>
    <t>Virginia, Reagan, National AP</t>
  </si>
  <si>
    <t xml:space="preserve">Virginia, Winchester </t>
  </si>
  <si>
    <t xml:space="preserve">Washington, Aberdeen </t>
  </si>
  <si>
    <t>Washington, Bellingham AP</t>
  </si>
  <si>
    <t xml:space="preserve">Washington, Bremerton </t>
  </si>
  <si>
    <t>Washington, Ellensburg AP</t>
  </si>
  <si>
    <t>Washington, Everett-Paine AFB</t>
  </si>
  <si>
    <t xml:space="preserve">Washington, Hanford </t>
  </si>
  <si>
    <t xml:space="preserve">Washington, Kennewick </t>
  </si>
  <si>
    <t>BHLF = (-2.500E-08 x Amb + 2.250E-06) x Floor Area - 4.500E-04 x Amb + 4.800E-02</t>
  </si>
  <si>
    <t>BSGF = (2.500E-08 x Amb - 1.250E-06) x Floor Area + 6.000E-04 x Amb - 3.450E-02</t>
  </si>
  <si>
    <t>Radial or Spider Supply and Return System Installed in a Unconditioned Space or Outdoors, Center Supply Outlets</t>
  </si>
  <si>
    <t>Radial or Spider Supply and Return System Installed in a Unconditioned Space or Outdoors, Perimeter Supply Outlets</t>
  </si>
  <si>
    <t>Trunk and Branch Supply and Return System Installed in a Unconditioned Space or Outdoors, Center Supply Outlets</t>
  </si>
  <si>
    <t>Trunk and Branch Supply and Return System Installed in a Unconditioned Space or Outdoors, Perimeter Supply Outlets</t>
  </si>
  <si>
    <t>7RC</t>
  </si>
  <si>
    <t>7RP</t>
  </si>
  <si>
    <t>7TC</t>
  </si>
  <si>
    <t>7TP</t>
  </si>
  <si>
    <t>7GSC</t>
  </si>
  <si>
    <t>Wet Surface 1</t>
  </si>
  <si>
    <t>Wet Surface 2</t>
  </si>
  <si>
    <t>Floor area of primary level (SqFt)</t>
  </si>
  <si>
    <t>SA</t>
  </si>
  <si>
    <r>
      <t>Skylight Input:</t>
    </r>
    <r>
      <rPr>
        <sz val="10"/>
        <rFont val="Arial"/>
        <family val="2"/>
      </rPr>
      <t xml:space="preserve"> Enter the type of skylight, direction, net square feet and tilt angle</t>
    </r>
  </si>
  <si>
    <r>
      <t>Door Input:</t>
    </r>
    <r>
      <rPr>
        <sz val="10"/>
        <rFont val="Arial"/>
        <family val="2"/>
      </rPr>
      <t xml:space="preserve"> Enter the type of door direction, net square feet and color</t>
    </r>
  </si>
  <si>
    <r>
      <t>Wall Input:</t>
    </r>
    <r>
      <rPr>
        <sz val="10"/>
        <rFont val="Arial"/>
        <family val="2"/>
      </rPr>
      <t xml:space="preserve"> Enter the type of wall, direction, net square feet and color</t>
    </r>
  </si>
  <si>
    <r>
      <t>Partition Wall Input:</t>
    </r>
    <r>
      <rPr>
        <sz val="10"/>
        <rFont val="Arial"/>
        <family val="2"/>
      </rPr>
      <t xml:space="preserve"> Enter the type of wall, net square feet, PTDH and PTDC</t>
    </r>
  </si>
  <si>
    <r>
      <t>Ceiling Input:</t>
    </r>
    <r>
      <rPr>
        <sz val="10"/>
        <rFont val="Arial"/>
        <family val="2"/>
      </rPr>
      <t xml:space="preserve"> Enter the type of ceiling, net square feet and color</t>
    </r>
  </si>
  <si>
    <r>
      <t>Floor Input:</t>
    </r>
    <r>
      <rPr>
        <sz val="10"/>
        <rFont val="Arial"/>
        <family val="2"/>
      </rPr>
      <t xml:space="preserve"> Enter the type of floor and square feet.</t>
    </r>
  </si>
  <si>
    <r>
      <t>Slab Floor Input:</t>
    </r>
    <r>
      <rPr>
        <sz val="10"/>
        <rFont val="Arial"/>
        <family val="2"/>
      </rPr>
      <t xml:space="preserve"> Enter the type of floor and linear feet</t>
    </r>
  </si>
  <si>
    <t>Internal Input:</t>
  </si>
  <si>
    <r>
      <t>Ducts Input:</t>
    </r>
    <r>
      <rPr>
        <sz val="10"/>
        <rFont val="Arial"/>
        <family val="2"/>
      </rPr>
      <t xml:space="preserve"> Enter the type of duct system, insulation, leakage class, installed square feet of surface area or default of 1 and</t>
    </r>
  </si>
  <si>
    <r>
      <t>Infiltration Input:</t>
    </r>
    <r>
      <rPr>
        <sz val="10"/>
        <rFont val="Arial"/>
        <family val="2"/>
      </rPr>
      <t xml:space="preserve"> Enter the levels of exposure and tightness</t>
    </r>
  </si>
  <si>
    <r>
      <t xml:space="preserve">Ventilation Input: </t>
    </r>
    <r>
      <rPr>
        <sz val="10"/>
        <rFont val="Arial"/>
        <family val="2"/>
      </rPr>
      <t>Enter the type of ventilation and corresponding value</t>
    </r>
  </si>
  <si>
    <r>
      <t xml:space="preserve">construction types and values.  From the input screens you can select the </t>
    </r>
    <r>
      <rPr>
        <b/>
        <sz val="10"/>
        <rFont val="Arial"/>
        <family val="2"/>
      </rPr>
      <t>Return to Form N1</t>
    </r>
    <r>
      <rPr>
        <sz val="10"/>
        <rFont val="Arial"/>
        <family val="2"/>
      </rPr>
      <t xml:space="preserve"> hyperlink to go back to </t>
    </r>
  </si>
  <si>
    <r>
      <t>the</t>
    </r>
    <r>
      <rPr>
        <b/>
        <sz val="10"/>
        <rFont val="Arial"/>
        <family val="2"/>
      </rPr>
      <t xml:space="preserve"> Form N1</t>
    </r>
    <r>
      <rPr>
        <sz val="10"/>
        <rFont val="Arial"/>
        <family val="2"/>
      </rPr>
      <t>.</t>
    </r>
  </si>
  <si>
    <r>
      <t xml:space="preserve">Return to the </t>
    </r>
    <r>
      <rPr>
        <b/>
        <sz val="10"/>
        <rFont val="Arial"/>
        <family val="2"/>
      </rPr>
      <t>Form N1</t>
    </r>
    <r>
      <rPr>
        <sz val="10"/>
        <rFont val="Arial"/>
        <family val="2"/>
      </rPr>
      <t xml:space="preserve"> to verify your entries and results.  If acceptable proceed to </t>
    </r>
    <r>
      <rPr>
        <b/>
        <sz val="10"/>
        <rFont val="Arial"/>
        <family val="2"/>
      </rPr>
      <t>Step 6</t>
    </r>
  </si>
  <si>
    <r>
      <t>Step 7:</t>
    </r>
    <r>
      <rPr>
        <sz val="10"/>
        <rFont val="Arial"/>
        <family val="2"/>
      </rPr>
      <t xml:space="preserve"> Print the Form N1</t>
    </r>
  </si>
  <si>
    <r>
      <t>Office Equipment:</t>
    </r>
    <r>
      <rPr>
        <sz val="10"/>
        <rFont val="Arial"/>
        <family val="2"/>
      </rPr>
      <t xml:space="preserve"> Enter the quantity, name plate watts or BTUH, any latent values and diversity factor</t>
    </r>
  </si>
  <si>
    <t xml:space="preserve">Heating calculations are made for the winter design temperature (OAT). </t>
  </si>
  <si>
    <t>No credit for heat gain from lighting or other electric-mechanical gains.</t>
  </si>
  <si>
    <t>Total cold pipe load for Form N1, Line 12f (negative load) =</t>
  </si>
  <si>
    <t>Total cold case load for Form N1, Line 12f (negative load) =</t>
  </si>
  <si>
    <t>Type of Storage Case
Table 6H-2</t>
  </si>
  <si>
    <t>Case</t>
  </si>
  <si>
    <t>Area SqFt</t>
  </si>
  <si>
    <t>for Heating</t>
  </si>
  <si>
    <t>for Cooling</t>
  </si>
  <si>
    <t xml:space="preserve">This spreadsheet can be downloaded from the ACCA System Design website.  </t>
  </si>
  <si>
    <t>number is listed on Notes tab.</t>
  </si>
  <si>
    <t>Installed Square Feet of Return Duct or Default = "T"</t>
  </si>
  <si>
    <t>0.12 / 0.24 Average</t>
  </si>
  <si>
    <t>0.06 / 0.06 Tight</t>
  </si>
  <si>
    <t>0.09 / 0.15 Semi-Tight</t>
  </si>
  <si>
    <t>0.24 / 0.47 Semi-Loose</t>
  </si>
  <si>
    <t>0.35 / 0.70 Loose</t>
  </si>
  <si>
    <t>Electric or Fuel Equipment</t>
  </si>
  <si>
    <t>Tables 6F-1, 6F-2 and 6F-3</t>
  </si>
  <si>
    <t>Sensible Value = 3.413 x Item Watts or Item Btuh value      SG = N x DF x Sensible Value      SCL = SG x CLF      LCL = N x DF x Latent Value</t>
  </si>
  <si>
    <t>Summer DB</t>
  </si>
  <si>
    <t>Indoor DB</t>
  </si>
  <si>
    <t>Day Range</t>
  </si>
  <si>
    <t>Floor Area</t>
  </si>
  <si>
    <t>Roof</t>
  </si>
  <si>
    <t>Gross</t>
  </si>
  <si>
    <t>OAT</t>
  </si>
  <si>
    <t>IAT</t>
  </si>
  <si>
    <t>T10A</t>
  </si>
  <si>
    <t>Slope Deg</t>
  </si>
  <si>
    <t>Roof Area</t>
  </si>
  <si>
    <t>Ceil Area</t>
  </si>
  <si>
    <t>Latent heat of condensation = 1,076 Btuh/Lb.</t>
  </si>
  <si>
    <t>For the Sensible and Latent Heat Equations</t>
  </si>
  <si>
    <t xml:space="preserve">Summer design CTD = </t>
  </si>
  <si>
    <t>1) Obtain design values for outdoor drybulb temperature(OATmo), Daily Range (DRmo) and Design Grains (DGmo) for month.</t>
  </si>
  <si>
    <t>Altitude Correction (ACF)</t>
  </si>
  <si>
    <t>Table 10A</t>
  </si>
  <si>
    <t>Base Case Sensible Gain Factor (BSGF)</t>
  </si>
  <si>
    <t xml:space="preserve"> ± Btuh Values for Base Case Latent Gain (BLG)</t>
  </si>
  <si>
    <t>R6 Insulation, ASHRAE Sealed (Supply = 0.12, Return = 0.24)</t>
  </si>
  <si>
    <t>Square Feet of Floor Area</t>
  </si>
  <si>
    <t>∆ Grains ±</t>
  </si>
  <si>
    <t>BLG = (1.020E-02 x Amb + 1.852E-01) x Floor Area - 1.012E+01 x Amb - 1.943E+02</t>
  </si>
  <si>
    <t>Leakage Correction (LCF) for Latent Gain</t>
  </si>
  <si>
    <t>BHLF = (-8.194E-08 x Amb + 8.903E-06) x Floor Area - 2.338E-03 x Amb + 2.471E-01</t>
  </si>
  <si>
    <t>Any R-Value</t>
  </si>
  <si>
    <t>BSGF = (1.250E-07 x Amb - 5.167E-06) x Floor Area + 3.495E-03 x Amb - 1.867E-01</t>
  </si>
  <si>
    <t>0.06 / 0.06</t>
  </si>
  <si>
    <t>R-Value Correction</t>
  </si>
  <si>
    <t>0.09 / 0.15</t>
  </si>
  <si>
    <t>(WIF - Heat Loss)</t>
  </si>
  <si>
    <t>0.12 / 0.24</t>
  </si>
  <si>
    <t>(WIF - Sensible Gain)</t>
  </si>
  <si>
    <t>0.24 / 0.47</t>
  </si>
  <si>
    <t>0.35 / 0.70</t>
  </si>
  <si>
    <t>Leakage Correction (LCF) for Heat Loss</t>
  </si>
  <si>
    <t>Table 12 (1)</t>
  </si>
  <si>
    <t>Wind (5)</t>
  </si>
  <si>
    <t>Daily (4)</t>
  </si>
  <si>
    <t>Month of Year (6)
Conditions for
Cooling</t>
  </si>
  <si>
    <t>Heating</t>
  </si>
  <si>
    <t>Cooling</t>
  </si>
  <si>
    <t>Month</t>
  </si>
  <si>
    <t>The estimated value for plenum temperature (PT) is correct if sum of HTMs = zero (range = ± 1.0).</t>
  </si>
  <si>
    <t>Worksheet DAC-2</t>
  </si>
  <si>
    <t>Duct leakage Cfm per SqFt of duct surface area (supply / return) = 0.06/0.06; 0.09/0.15; 0.12/0.24; 0.24/0.47; 0.35/0.70</t>
  </si>
  <si>
    <t>Duct wall insulation R-value = 2, 4, 6 and 8</t>
  </si>
  <si>
    <t>Base Case Heat Loss Factor (BHLF)</t>
  </si>
  <si>
    <t>Block, Framing w/ R-13 cavity, drywall</t>
  </si>
  <si>
    <t>I</t>
  </si>
  <si>
    <t>17B-10w</t>
  </si>
  <si>
    <t>R-13 roof decking, dead air space, R-19 ceiling</t>
  </si>
  <si>
    <t>Tennessee, Memphis AP</t>
  </si>
  <si>
    <t xml:space="preserve">Tennessee, Murfreesboro </t>
  </si>
  <si>
    <t>Tennessee, Nashville AP</t>
  </si>
  <si>
    <t xml:space="preserve">Tennessee, Tullahoma </t>
  </si>
  <si>
    <t>Texas, Abilene AP</t>
  </si>
  <si>
    <t>Texas, Alice AP</t>
  </si>
  <si>
    <t>Texas, Amarillo AP</t>
  </si>
  <si>
    <t>Texas, Austin AP</t>
  </si>
  <si>
    <t>Texas, Bay City</t>
  </si>
  <si>
    <t xml:space="preserve">Texas, Beaumont </t>
  </si>
  <si>
    <t xml:space="preserve">Texas, Beeville </t>
  </si>
  <si>
    <t>Texas, Big Springs AP</t>
  </si>
  <si>
    <t>Texas, Brownsville AP</t>
  </si>
  <si>
    <t xml:space="preserve">Texas, Brownwood </t>
  </si>
  <si>
    <t>Texas, Bryan AP</t>
  </si>
  <si>
    <t>Texas, Corpus Christi AP</t>
  </si>
  <si>
    <t xml:space="preserve">Texas, Corsicana </t>
  </si>
  <si>
    <t>Texas, Dallas, Fort Worth AP</t>
  </si>
  <si>
    <t>Texas, Del Rio, Laughlin AFB</t>
  </si>
  <si>
    <t xml:space="preserve">Texas, Denton </t>
  </si>
  <si>
    <t>Texas, Eagle Pass</t>
  </si>
  <si>
    <t>Texas, El Paso AP</t>
  </si>
  <si>
    <t xml:space="preserve">New York, Jamestown </t>
  </si>
  <si>
    <t xml:space="preserve">New York, Kingston </t>
  </si>
  <si>
    <t xml:space="preserve">New York, Lockport </t>
  </si>
  <si>
    <t>New York, Massena AP</t>
  </si>
  <si>
    <t>New York, Newburg-Stewart AFB</t>
  </si>
  <si>
    <t>New York, NYC-Central Park</t>
  </si>
  <si>
    <t>New York, NYC-Kennedy AP</t>
  </si>
  <si>
    <t>New York, NYC-La Guardia AP</t>
  </si>
  <si>
    <t>New York, Niagra Falls AP</t>
  </si>
  <si>
    <t xml:space="preserve">New York, Olean </t>
  </si>
  <si>
    <t xml:space="preserve">New York, Oneonta </t>
  </si>
  <si>
    <t>New York, Oswego CO</t>
  </si>
  <si>
    <t>New York, Plattsburg AFB</t>
  </si>
  <si>
    <t xml:space="preserve">New York, Poughkeepsie </t>
  </si>
  <si>
    <t>New York, Rochester AP</t>
  </si>
  <si>
    <t>Sexton Summit</t>
  </si>
  <si>
    <t>The Dalles</t>
  </si>
  <si>
    <t>Allentown AP</t>
  </si>
  <si>
    <t>Altoona CO</t>
  </si>
  <si>
    <t xml:space="preserve">Bradford </t>
  </si>
  <si>
    <t xml:space="preserve">Butler </t>
  </si>
  <si>
    <t xml:space="preserve">Chambersburg </t>
  </si>
  <si>
    <t xml:space="preserve">DuBois </t>
  </si>
  <si>
    <t>Erie AP</t>
  </si>
  <si>
    <t>Harrisburg AP</t>
  </si>
  <si>
    <t xml:space="preserve">Johnstown </t>
  </si>
  <si>
    <t xml:space="preserve">Meadville </t>
  </si>
  <si>
    <t>New Castle</t>
  </si>
  <si>
    <t>Philadelphia AP</t>
  </si>
  <si>
    <t>Philadelphia, Northeast AP</t>
  </si>
  <si>
    <t>Philadelphia, Willow Gr NAS</t>
  </si>
  <si>
    <t>Pittsburgh AP</t>
  </si>
  <si>
    <t>Pittsburgh, Allegheny AP</t>
  </si>
  <si>
    <t>Reading CO</t>
  </si>
  <si>
    <t xml:space="preserve">Scranton/Wilkes-Barre </t>
  </si>
  <si>
    <t>State College</t>
  </si>
  <si>
    <t xml:space="preserve">Sunbury </t>
  </si>
  <si>
    <t xml:space="preserve">Uniontown </t>
  </si>
  <si>
    <t>West Chester</t>
  </si>
  <si>
    <t>Williamsport AP</t>
  </si>
  <si>
    <t xml:space="preserve">York </t>
  </si>
  <si>
    <t xml:space="preserve">Newport </t>
  </si>
  <si>
    <t>Providence AP</t>
  </si>
  <si>
    <t>Beaufort, MCAS</t>
  </si>
  <si>
    <t>Charleston AFB</t>
  </si>
  <si>
    <t>Charleston CO</t>
  </si>
  <si>
    <t xml:space="preserve">Georgetown </t>
  </si>
  <si>
    <t>Greenville AP/Greer</t>
  </si>
  <si>
    <t>Myrtle Beach, AFB</t>
  </si>
  <si>
    <t xml:space="preserve">Orangeburg </t>
  </si>
  <si>
    <t>Rock Hill</t>
  </si>
  <si>
    <t>Spartanburg AP</t>
  </si>
  <si>
    <t>Sumter-Shaw AFB</t>
  </si>
  <si>
    <t>Aberdeen AP</t>
  </si>
  <si>
    <t xml:space="preserve">Brookings </t>
  </si>
  <si>
    <t xml:space="preserve">Chamberlain </t>
  </si>
  <si>
    <t>Huron AP</t>
  </si>
  <si>
    <t xml:space="preserve">Mitchell </t>
  </si>
  <si>
    <t>Pierre AP</t>
  </si>
  <si>
    <t>Rapid City AP</t>
  </si>
  <si>
    <t>Sioux Falls AP</t>
  </si>
  <si>
    <t>Watertown AP</t>
  </si>
  <si>
    <t xml:space="preserve">Yankton </t>
  </si>
  <si>
    <t>Bristol-Tri City AP</t>
  </si>
  <si>
    <t>Chattanooga AP</t>
  </si>
  <si>
    <t xml:space="preserve">Clarksville </t>
  </si>
  <si>
    <t xml:space="preserve">Columbia </t>
  </si>
  <si>
    <t xml:space="preserve">Crossville </t>
  </si>
  <si>
    <t xml:space="preserve">Dyersburg </t>
  </si>
  <si>
    <t>Knoxville AP</t>
  </si>
  <si>
    <t>Memphis AP</t>
  </si>
  <si>
    <t xml:space="preserve">Murfreesboro </t>
  </si>
  <si>
    <t>Nashville AP</t>
  </si>
  <si>
    <t xml:space="preserve">Tullahoma </t>
  </si>
  <si>
    <t>Abilene AP</t>
  </si>
  <si>
    <t>Alice AP</t>
  </si>
  <si>
    <t>Amarillo AP</t>
  </si>
  <si>
    <t>Austin AP</t>
  </si>
  <si>
    <t>Bay City</t>
  </si>
  <si>
    <t xml:space="preserve">Beaumont </t>
  </si>
  <si>
    <t xml:space="preserve">Beeville </t>
  </si>
  <si>
    <t>Big Springs AP</t>
  </si>
  <si>
    <t>Brownsville AP</t>
  </si>
  <si>
    <t xml:space="preserve">Brownwood </t>
  </si>
  <si>
    <t>Bryan AP</t>
  </si>
  <si>
    <t>CLTD Adjustment for Doors and Walls</t>
  </si>
  <si>
    <t>Note: If the blower operates the cooling Cfm year-around -- use the default ALF for cooling.</t>
  </si>
  <si>
    <t>6) Use the following forms to calculate the weighted average cavity temperature for cooling and heating.</t>
  </si>
  <si>
    <t>Design Conditions and Surface Areas and Plenum Temperature for Cooling</t>
  </si>
  <si>
    <t>For Wrk H</t>
  </si>
  <si>
    <t>Effective #</t>
  </si>
  <si>
    <t>Occupants</t>
  </si>
  <si>
    <t>N x DF</t>
  </si>
  <si>
    <t>SqFt of RA Ceiling Area</t>
  </si>
  <si>
    <t>Space 1</t>
  </si>
  <si>
    <t>Space 2</t>
  </si>
  <si>
    <t>Space 3</t>
  </si>
  <si>
    <t xml:space="preserve">SqFt under Roof &gt; </t>
  </si>
  <si>
    <t xml:space="preserve">Space Name &gt; </t>
  </si>
  <si>
    <t xml:space="preserve">SqFt under floor &gt; </t>
  </si>
  <si>
    <t>&lt; Draw through fan is on Wks I and this fan load is added to line e loads on Form N1</t>
  </si>
  <si>
    <t>3) Perform RAP-2 heat balance calculations for heating and cooling using the entire floor area of the space covered by the return air plenum.</t>
  </si>
  <si>
    <t>1) Determine the floor area for the space under the return air plenum (part of this area will be under a roof and part will be under a conditioned space).</t>
  </si>
  <si>
    <t>4) Determine the floor area for the portion of the space that is under the roof.</t>
  </si>
  <si>
    <t>Procedure:</t>
  </si>
  <si>
    <t>Note: Use F-value and running feet of exposed edge for slab floors</t>
  </si>
  <si>
    <t>Toilet room</t>
  </si>
  <si>
    <t>For Ventilation Dehumidifier</t>
  </si>
  <si>
    <t>Adjusted CLTD (PTDC) for #19 floors (see Tbl 4A, Construction 19 )</t>
  </si>
  <si>
    <t>Roof HTM = - U-value x (PT - OAT)</t>
  </si>
  <si>
    <t>Ceiling HTM =  Ceiling U-Value x (IAT - PT)    ... Default IAT = 70 °F</t>
  </si>
  <si>
    <t>Btuh per</t>
  </si>
  <si>
    <t>Plant</t>
  </si>
  <si>
    <t>Small</t>
  </si>
  <si>
    <t>Medium</t>
  </si>
  <si>
    <t>Large</t>
  </si>
  <si>
    <t>Part 11 -  Latent Load for Indoor Plants</t>
  </si>
  <si>
    <t>Total indoor plant load for Form N1, Line 12b =</t>
  </si>
  <si>
    <t>LCL = Btuh per Plant x N</t>
  </si>
  <si>
    <t>Inventory of Indoor Plants</t>
  </si>
  <si>
    <t>Part 10 -- Sensible and Latent Load for Steam Release and Latent Load Evaporation from Wet Surface (Btuh)</t>
  </si>
  <si>
    <t>Moisture Gain Item
Table 6I-1; 6I-2</t>
  </si>
  <si>
    <t>6I-1 or</t>
  </si>
  <si>
    <t>6I-2</t>
  </si>
  <si>
    <t>Wet Surface</t>
  </si>
  <si>
    <t>Temp</t>
  </si>
  <si>
    <t>Wet</t>
  </si>
  <si>
    <t>For estimating ceiling load: Default ALF = Form N1 sensible sum for lines 6 through 13 / (1.1 x ACF x 20 x Floor Area); or known value</t>
  </si>
  <si>
    <t>Default AH Supply Cfm = (Sum of sensible cooling loads on Form N1, Lines 6 through 12) / (1.1 x 20 x ACF)
CFMimb equals the excess Cfm delivered to the space, or the excess Cfm extracted from the space.
Heating Load = 1.1 x ACF x NCFM x HTD;    Sensible Load = 1.1 x ACF x NCFM x CTD ;     Latent Load = 0.68 x ACF x NCFM x D Grains
Supply air, return air and exhaust systems shall be balanced for desired space pressure condition and CFMimb value.</t>
  </si>
  <si>
    <t>Adjusted CLTD for #21 (basement) floors = 0</t>
  </si>
  <si>
    <t>Adjusted CLTD for #22 (slab) floors = 0</t>
  </si>
  <si>
    <t>Plenum Heat Balance for Cooling</t>
  </si>
  <si>
    <t>for HB</t>
  </si>
  <si>
    <t>KBW Input</t>
  </si>
  <si>
    <t>Levels</t>
  </si>
  <si>
    <t>Tightness</t>
  </si>
  <si>
    <t>Internal Loads</t>
  </si>
  <si>
    <t>Radial or Spider Supply and Return System Installed in a Unconditioned Space or Outdoors</t>
  </si>
  <si>
    <t>0.5</t>
  </si>
  <si>
    <t>Supply location = Perimeter of floor plan</t>
  </si>
  <si>
    <t>Number of supplies: 3,000 SF = 15; 6,000 SF = 20; 9,000 SF = 25; 12,000 SF = 30; 15,000 SF = 35</t>
  </si>
  <si>
    <t>Installed or default supply area (SqFt) =</t>
  </si>
  <si>
    <t>Installed or default return area (SqFt) =</t>
  </si>
  <si>
    <t>Default supply area (SqFt) =</t>
  </si>
  <si>
    <t xml:space="preserve">Default return area (SqFt) = </t>
  </si>
  <si>
    <t>2) CLTD adjustment depends on construction number.</t>
  </si>
  <si>
    <t>or Edge Ft</t>
  </si>
  <si>
    <t>F-Value</t>
  </si>
  <si>
    <t>T-4A</t>
  </si>
  <si>
    <t>PTDH</t>
  </si>
  <si>
    <t>Adjust'd CLTD</t>
  </si>
  <si>
    <t>T-4B</t>
  </si>
  <si>
    <t>or PTDC</t>
  </si>
  <si>
    <t>OH-1 Engineered relief area equal to or greater than door area, or equivalent mechanical exhaust, or extremely loose construction. R=1.0</t>
  </si>
  <si>
    <t>OH-2 Considerable engineered relief, envelope leakage area about 80% of the door area. R=0.80</t>
  </si>
  <si>
    <t>OH-3 Sinificant engineered relief, envelope leakage area about 65% of the door area. R=0.65</t>
  </si>
  <si>
    <t>OH-4 Some engineered relief, envelope leakage area about 50% of the door area. R=0.50</t>
  </si>
  <si>
    <t>OH-5 No engineered relief, envelope leakage area much smaller than door area. R=0.35</t>
  </si>
  <si>
    <t>Texas, Kingsville, NAS</t>
  </si>
  <si>
    <t xml:space="preserve">Texas, Lamesa </t>
  </si>
  <si>
    <t>Texas, Laredo AFB</t>
  </si>
  <si>
    <t>Texas, Longview 365</t>
  </si>
  <si>
    <t>Texas, Lubbock AP</t>
  </si>
  <si>
    <t>Texas, Lubbock, Reese AFB</t>
  </si>
  <si>
    <t>Texas, Lufkin AP</t>
  </si>
  <si>
    <t xml:space="preserve">Texas, Marfa </t>
  </si>
  <si>
    <t xml:space="preserve">Texas, McAllen </t>
  </si>
  <si>
    <t>Texas, Midland AP</t>
  </si>
  <si>
    <t>Texas, Mineral Wells AP</t>
  </si>
  <si>
    <t>Texas, Palestine CO</t>
  </si>
  <si>
    <t xml:space="preserve">Texas, Pampa </t>
  </si>
  <si>
    <t xml:space="preserve">Texas, Pecos </t>
  </si>
  <si>
    <t>Fixed error on internal gains &amp; unprotect design condition cells</t>
  </si>
  <si>
    <t>Version N5ae 1.07 19NOV14</t>
  </si>
  <si>
    <t>Version N5ae 1.08 22JAN15</t>
  </si>
  <si>
    <t>Fixed loced cells error in skylights</t>
  </si>
  <si>
    <t>Version N5ae 1.09 19AUG16</t>
  </si>
  <si>
    <t>California, Long Beach Daughtery Field</t>
  </si>
  <si>
    <t>Long Beach Daughtery Field</t>
  </si>
  <si>
    <t>7TC Trunk and Branch Supply and Return System Installed in a Unconditioned Space or Outdoors, Center Supply Outlets</t>
  </si>
  <si>
    <t>Version N5ae 1.10 02OCT17</t>
  </si>
  <si>
    <t>Fixed Duct Load error</t>
  </si>
  <si>
    <t>Fixed Blower Load bug</t>
  </si>
  <si>
    <t>Version N5ae 1.10 03NOV17</t>
  </si>
  <si>
    <t>Version N5ae 1.11 21JUN18</t>
  </si>
  <si>
    <t>Fixed design hour of day issue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</si>
</sst>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General_)"/>
    <numFmt numFmtId="165" formatCode="#.00"/>
    <numFmt numFmtId="166" formatCode="#."/>
    <numFmt numFmtId="167" formatCode="m\o\n\th\ d\,\ yyyy"/>
    <numFmt numFmtId="168" formatCode="0_)"/>
    <numFmt numFmtId="169" formatCode="0.0_)"/>
    <numFmt numFmtId="170" formatCode="0.0"/>
    <numFmt numFmtId="171" formatCode="0.000"/>
    <numFmt numFmtId="172" formatCode="0.0000"/>
    <numFmt numFmtId="173" formatCode="#,##0.000"/>
    <numFmt numFmtId="174" formatCode="h:mm;@"/>
    <numFmt numFmtId="175" formatCode="#,##0.0"/>
    <numFmt numFmtId="176" formatCode="[$-409]h:mm\ AM/PM;@"/>
  </numFmts>
  <fonts count="76" x14ac:knownFonts="1">
    <font>
      <sz val="10"/>
      <name val="Arial"/>
    </font>
    <font>
      <sz val="10"/>
      <name val="Arial"/>
      <family val="2"/>
    </font>
    <font>
      <sz val="8"/>
      <name val="Arial"/>
      <family val="2"/>
    </font>
    <font>
      <b/>
      <sz val="8"/>
      <name val="Arial"/>
      <family val="2"/>
    </font>
    <font>
      <u/>
      <sz val="10"/>
      <color indexed="12"/>
      <name val="Arial"/>
      <family val="2"/>
    </font>
    <font>
      <sz val="8"/>
      <name val="Arial"/>
      <family val="2"/>
    </font>
    <font>
      <sz val="8"/>
      <color indexed="10"/>
      <name val="Arial"/>
      <family val="2"/>
    </font>
    <font>
      <sz val="8"/>
      <color indexed="10"/>
      <name val="Arial"/>
      <family val="2"/>
    </font>
    <font>
      <i/>
      <sz val="8"/>
      <name val="Arial"/>
      <family val="2"/>
    </font>
    <font>
      <i/>
      <sz val="10"/>
      <name val="Arial"/>
      <family val="2"/>
    </font>
    <font>
      <b/>
      <sz val="8"/>
      <name val="Arial"/>
      <family val="2"/>
    </font>
    <font>
      <b/>
      <sz val="10"/>
      <name val="Arial"/>
      <family val="2"/>
    </font>
    <font>
      <sz val="1"/>
      <color indexed="8"/>
      <name val="Courier"/>
      <family val="3"/>
    </font>
    <font>
      <b/>
      <sz val="1"/>
      <color indexed="8"/>
      <name val="Courier"/>
      <family val="3"/>
    </font>
    <font>
      <sz val="12"/>
      <name val="Courier"/>
      <family val="3"/>
    </font>
    <font>
      <b/>
      <sz val="8"/>
      <color indexed="12"/>
      <name val="Arial"/>
      <family val="2"/>
    </font>
    <font>
      <sz val="8"/>
      <color indexed="12"/>
      <name val="Arial"/>
      <family val="2"/>
    </font>
    <font>
      <sz val="8"/>
      <color indexed="8"/>
      <name val="Arial"/>
      <family val="2"/>
    </font>
    <font>
      <b/>
      <sz val="8"/>
      <color indexed="10"/>
      <name val="Arial"/>
      <family val="2"/>
    </font>
    <font>
      <sz val="10"/>
      <name val="Arial"/>
      <family val="2"/>
    </font>
    <font>
      <sz val="8"/>
      <color indexed="12"/>
      <name val="Arial"/>
      <family val="2"/>
    </font>
    <font>
      <sz val="8"/>
      <color indexed="8"/>
      <name val="Arial"/>
      <family val="2"/>
    </font>
    <font>
      <b/>
      <sz val="8"/>
      <color indexed="10"/>
      <name val="Arial"/>
      <family val="2"/>
    </font>
    <font>
      <sz val="10"/>
      <name val="Arial"/>
      <family val="2"/>
    </font>
    <font>
      <sz val="8"/>
      <color indexed="20"/>
      <name val="Arial"/>
      <family val="2"/>
    </font>
    <font>
      <b/>
      <sz val="8"/>
      <color indexed="81"/>
      <name val="Tahoma"/>
      <family val="2"/>
    </font>
    <font>
      <sz val="8"/>
      <color indexed="14"/>
      <name val="Arial"/>
      <family val="2"/>
    </font>
    <font>
      <sz val="8"/>
      <name val="Courier"/>
      <family val="3"/>
    </font>
    <font>
      <sz val="8"/>
      <color indexed="16"/>
      <name val="Arial"/>
      <family val="2"/>
    </font>
    <font>
      <sz val="6"/>
      <name val="Arial"/>
      <family val="2"/>
    </font>
    <font>
      <sz val="10"/>
      <color indexed="10"/>
      <name val="Arial"/>
      <family val="2"/>
    </font>
    <font>
      <sz val="7"/>
      <name val="Arial"/>
      <family val="2"/>
    </font>
    <font>
      <i/>
      <sz val="8"/>
      <name val="Arial"/>
      <family val="2"/>
    </font>
    <font>
      <sz val="7"/>
      <name val="Arial"/>
      <family val="2"/>
    </font>
    <font>
      <sz val="10"/>
      <color indexed="10"/>
      <name val="Arial"/>
      <family val="2"/>
    </font>
    <font>
      <vertAlign val="superscript"/>
      <sz val="8"/>
      <name val="Arial"/>
      <family val="2"/>
    </font>
    <font>
      <sz val="8"/>
      <color indexed="23"/>
      <name val="Arial"/>
      <family val="2"/>
    </font>
    <font>
      <sz val="12"/>
      <color indexed="12"/>
      <name val="Courier"/>
      <family val="3"/>
    </font>
    <font>
      <b/>
      <sz val="16"/>
      <name val="Arial"/>
      <family val="2"/>
    </font>
    <font>
      <b/>
      <sz val="12"/>
      <color indexed="12"/>
      <name val="Arial"/>
      <family val="2"/>
    </font>
    <font>
      <b/>
      <sz val="12"/>
      <name val="Arial"/>
      <family val="2"/>
    </font>
    <font>
      <sz val="7"/>
      <color indexed="10"/>
      <name val="Arial"/>
      <family val="2"/>
    </font>
    <font>
      <sz val="8"/>
      <color indexed="13"/>
      <name val="Arial"/>
      <family val="2"/>
    </font>
    <font>
      <sz val="7"/>
      <name val="Courier"/>
      <family val="3"/>
    </font>
    <font>
      <sz val="8"/>
      <color indexed="81"/>
      <name val="Tahoma"/>
      <family val="2"/>
    </font>
    <font>
      <sz val="8"/>
      <color indexed="8"/>
      <name val="Tahoma"/>
      <family val="2"/>
    </font>
    <font>
      <sz val="8"/>
      <color indexed="10"/>
      <name val="Tahoma"/>
      <family val="2"/>
    </font>
    <font>
      <sz val="6"/>
      <name val="Arial"/>
      <family val="2"/>
    </font>
    <font>
      <sz val="12"/>
      <color indexed="10"/>
      <name val="Courier"/>
      <family val="3"/>
    </font>
    <font>
      <b/>
      <sz val="10"/>
      <color indexed="12"/>
      <name val="Arial"/>
      <family val="2"/>
    </font>
    <font>
      <sz val="10"/>
      <color indexed="12"/>
      <name val="Arial"/>
      <family val="2"/>
    </font>
    <font>
      <sz val="8"/>
      <color indexed="20"/>
      <name val="Arial"/>
      <family val="2"/>
    </font>
    <font>
      <b/>
      <sz val="10"/>
      <color indexed="10"/>
      <name val="Arial"/>
      <family val="2"/>
    </font>
    <font>
      <b/>
      <sz val="8"/>
      <color indexed="14"/>
      <name val="Arial"/>
      <family val="2"/>
    </font>
    <font>
      <b/>
      <sz val="10"/>
      <color indexed="14"/>
      <name val="Arial"/>
      <family val="2"/>
    </font>
    <font>
      <sz val="10"/>
      <color indexed="14"/>
      <name val="Arial"/>
      <family val="2"/>
    </font>
    <font>
      <sz val="7"/>
      <color indexed="10"/>
      <name val="Arial"/>
      <family val="2"/>
    </font>
    <font>
      <b/>
      <sz val="10"/>
      <color indexed="8"/>
      <name val="Arial"/>
      <family val="2"/>
    </font>
    <font>
      <sz val="9"/>
      <name val="Arial"/>
      <family val="2"/>
    </font>
    <font>
      <b/>
      <u/>
      <sz val="10"/>
      <color indexed="10"/>
      <name val="Arial"/>
      <family val="2"/>
    </font>
    <font>
      <sz val="10"/>
      <name val="Verdana"/>
      <family val="2"/>
    </font>
    <font>
      <b/>
      <u/>
      <sz val="10"/>
      <name val="Arial"/>
      <family val="2"/>
    </font>
    <font>
      <b/>
      <sz val="8"/>
      <name val="Symbol"/>
      <family val="1"/>
      <charset val="2"/>
    </font>
    <font>
      <b/>
      <sz val="8"/>
      <color indexed="8"/>
      <name val="Arial"/>
      <family val="2"/>
    </font>
    <font>
      <u/>
      <sz val="8"/>
      <color indexed="12"/>
      <name val="Arial"/>
      <family val="2"/>
    </font>
    <font>
      <sz val="10"/>
      <color indexed="22"/>
      <name val="Arial"/>
      <family val="2"/>
    </font>
    <font>
      <sz val="8"/>
      <name val="Courier"/>
      <family val="3"/>
    </font>
    <font>
      <sz val="8"/>
      <name val="Arial Narrow"/>
      <family val="2"/>
    </font>
    <font>
      <u/>
      <sz val="8"/>
      <color indexed="12"/>
      <name val="Arial"/>
      <family val="2"/>
    </font>
    <font>
      <b/>
      <i/>
      <sz val="10"/>
      <name val="Arial"/>
      <family val="2"/>
    </font>
    <font>
      <sz val="10"/>
      <name val="Tahoma"/>
      <family val="2"/>
    </font>
    <font>
      <b/>
      <sz val="10"/>
      <name val="Tahoma"/>
      <family val="2"/>
    </font>
    <font>
      <u/>
      <sz val="9"/>
      <color indexed="12"/>
      <name val="Arial"/>
      <family val="2"/>
    </font>
    <font>
      <i/>
      <sz val="10"/>
      <name val="Tahoma"/>
      <family val="2"/>
    </font>
    <font>
      <u/>
      <sz val="8"/>
      <name val="Arial"/>
      <family val="2"/>
    </font>
    <font>
      <sz val="8"/>
      <color rgb="FF000000"/>
      <name val="Tahoma"/>
      <family val="2"/>
    </font>
  </fonts>
  <fills count="10">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7"/>
        <bgColor indexed="64"/>
      </patternFill>
    </fill>
    <fill>
      <patternFill patternType="solid">
        <fgColor indexed="13"/>
        <bgColor indexed="64"/>
      </patternFill>
    </fill>
    <fill>
      <patternFill patternType="solid">
        <fgColor indexed="44"/>
        <bgColor indexed="64"/>
      </patternFill>
    </fill>
    <fill>
      <patternFill patternType="solid">
        <fgColor indexed="42"/>
        <bgColor indexed="64"/>
      </patternFill>
    </fill>
  </fills>
  <borders count="81">
    <border>
      <left/>
      <right/>
      <top/>
      <bottom/>
      <diagonal/>
    </border>
    <border>
      <left style="thin">
        <color indexed="22"/>
      </left>
      <right style="thin">
        <color indexed="22"/>
      </right>
      <top style="thin">
        <color indexed="22"/>
      </top>
      <bottom style="thin">
        <color indexed="22"/>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bottom style="double">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s>
  <cellStyleXfs count="9">
    <xf numFmtId="0" fontId="0" fillId="0" borderId="0"/>
    <xf numFmtId="167" fontId="12" fillId="0" borderId="0">
      <protection locked="0"/>
    </xf>
    <xf numFmtId="165" fontId="12" fillId="0" borderId="0">
      <protection locked="0"/>
    </xf>
    <xf numFmtId="166" fontId="13" fillId="0" borderId="0">
      <protection locked="0"/>
    </xf>
    <xf numFmtId="166" fontId="13" fillId="0" borderId="0">
      <protection locked="0"/>
    </xf>
    <xf numFmtId="0" fontId="4" fillId="0" borderId="0" applyNumberFormat="0" applyFill="0" applyBorder="0" applyAlignment="0" applyProtection="0">
      <alignment vertical="top"/>
      <protection locked="0"/>
    </xf>
    <xf numFmtId="0" fontId="1" fillId="0" borderId="0"/>
    <xf numFmtId="164" fontId="14" fillId="0" borderId="0"/>
    <xf numFmtId="166" fontId="12" fillId="0" borderId="2">
      <protection locked="0"/>
    </xf>
  </cellStyleXfs>
  <cellXfs count="2229">
    <xf numFmtId="0" fontId="0" fillId="0" borderId="0" xfId="0"/>
    <xf numFmtId="0" fontId="2" fillId="0" borderId="0" xfId="0" applyFont="1"/>
    <xf numFmtId="0" fontId="2" fillId="0" borderId="0" xfId="0" applyFont="1" applyAlignment="1">
      <alignment horizontal="center"/>
    </xf>
    <xf numFmtId="0" fontId="5" fillId="0" borderId="3" xfId="0" applyFont="1" applyBorder="1" applyAlignment="1">
      <alignment horizontal="left"/>
    </xf>
    <xf numFmtId="0" fontId="5" fillId="0" borderId="4" xfId="0" applyFont="1" applyBorder="1" applyAlignment="1">
      <alignment horizontal="center"/>
    </xf>
    <xf numFmtId="0" fontId="5" fillId="0" borderId="5" xfId="0" applyFont="1" applyBorder="1" applyAlignment="1">
      <alignment horizontal="center"/>
    </xf>
    <xf numFmtId="0" fontId="6" fillId="2" borderId="5" xfId="0" applyFont="1" applyFill="1" applyBorder="1" applyAlignment="1">
      <alignment horizontal="center"/>
    </xf>
    <xf numFmtId="0" fontId="5" fillId="0" borderId="6" xfId="0" applyFont="1" applyBorder="1" applyAlignment="1">
      <alignment horizontal="center" vertical="top"/>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7" xfId="0" applyFont="1" applyBorder="1" applyAlignment="1">
      <alignment horizontal="center" vertical="top"/>
    </xf>
    <xf numFmtId="0" fontId="5" fillId="0" borderId="8" xfId="0" applyFont="1" applyBorder="1" applyAlignment="1">
      <alignment horizontal="center"/>
    </xf>
    <xf numFmtId="0" fontId="5" fillId="0" borderId="8" xfId="0" applyFont="1" applyBorder="1" applyAlignment="1">
      <alignment horizontal="center" vertical="top" wrapText="1"/>
    </xf>
    <xf numFmtId="0" fontId="5" fillId="0" borderId="5" xfId="0" applyFont="1" applyBorder="1" applyAlignment="1">
      <alignment horizontal="left"/>
    </xf>
    <xf numFmtId="0" fontId="5" fillId="0" borderId="9" xfId="0" applyFont="1" applyBorder="1" applyAlignment="1">
      <alignment horizontal="center"/>
    </xf>
    <xf numFmtId="0" fontId="5" fillId="0" borderId="8" xfId="0" applyFont="1" applyFill="1" applyBorder="1" applyAlignment="1">
      <alignment horizontal="center"/>
    </xf>
    <xf numFmtId="0" fontId="5" fillId="0" borderId="5" xfId="0" applyFont="1" applyFill="1" applyBorder="1" applyAlignment="1">
      <alignment horizontal="center"/>
    </xf>
    <xf numFmtId="0" fontId="2" fillId="0" borderId="5" xfId="0" applyFont="1" applyBorder="1" applyAlignment="1">
      <alignment horizontal="center"/>
    </xf>
    <xf numFmtId="0" fontId="2" fillId="0" borderId="3" xfId="0" applyFont="1" applyBorder="1" applyAlignment="1">
      <alignment horizontal="center"/>
    </xf>
    <xf numFmtId="0" fontId="2" fillId="0" borderId="9" xfId="0" applyFont="1" applyBorder="1" applyAlignment="1">
      <alignment horizontal="center"/>
    </xf>
    <xf numFmtId="0" fontId="2" fillId="0" borderId="4" xfId="0" applyFont="1" applyBorder="1" applyAlignment="1">
      <alignment horizontal="center"/>
    </xf>
    <xf numFmtId="0" fontId="2" fillId="0" borderId="6" xfId="0" applyFont="1" applyBorder="1" applyAlignment="1">
      <alignment horizontal="center"/>
    </xf>
    <xf numFmtId="0" fontId="2" fillId="0" borderId="8"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2" fillId="3" borderId="12" xfId="0" applyFont="1" applyFill="1" applyBorder="1" applyAlignment="1">
      <alignment horizontal="center"/>
    </xf>
    <xf numFmtId="0" fontId="2" fillId="3" borderId="13" xfId="0" applyFont="1" applyFill="1" applyBorder="1" applyAlignment="1">
      <alignment horizontal="center"/>
    </xf>
    <xf numFmtId="0" fontId="2" fillId="3" borderId="14" xfId="0" applyFont="1" applyFill="1" applyBorder="1" applyAlignment="1">
      <alignment horizontal="center"/>
    </xf>
    <xf numFmtId="0" fontId="2" fillId="3" borderId="15" xfId="0" applyFont="1" applyFill="1" applyBorder="1" applyAlignment="1">
      <alignment horizontal="center"/>
    </xf>
    <xf numFmtId="0" fontId="2" fillId="0" borderId="10" xfId="0" applyFont="1" applyBorder="1" applyAlignment="1">
      <alignment horizontal="left"/>
    </xf>
    <xf numFmtId="0" fontId="2" fillId="0" borderId="17" xfId="0" applyFont="1" applyBorder="1" applyAlignment="1">
      <alignment horizontal="center"/>
    </xf>
    <xf numFmtId="0" fontId="2" fillId="0" borderId="12" xfId="0" applyFont="1" applyBorder="1" applyAlignment="1">
      <alignment horizontal="left"/>
    </xf>
    <xf numFmtId="0" fontId="2" fillId="0" borderId="0" xfId="0" applyFont="1" applyBorder="1" applyAlignment="1">
      <alignment horizontal="center"/>
    </xf>
    <xf numFmtId="0" fontId="2" fillId="0" borderId="14" xfId="0" applyFont="1" applyBorder="1" applyAlignment="1">
      <alignment horizontal="left"/>
    </xf>
    <xf numFmtId="0" fontId="2" fillId="0" borderId="0" xfId="0" applyFont="1" applyAlignment="1">
      <alignment horizontal="left"/>
    </xf>
    <xf numFmtId="0" fontId="2" fillId="0" borderId="0" xfId="0" applyFont="1" applyAlignment="1">
      <alignment horizontal="left" indent="1"/>
    </xf>
    <xf numFmtId="0" fontId="2" fillId="0" borderId="7" xfId="0" applyFont="1" applyBorder="1" applyAlignment="1">
      <alignment horizontal="center"/>
    </xf>
    <xf numFmtId="0" fontId="0" fillId="0" borderId="16" xfId="0" applyBorder="1" applyAlignment="1">
      <alignment horizontal="center"/>
    </xf>
    <xf numFmtId="0" fontId="2" fillId="0" borderId="3" xfId="0" applyFont="1" applyBorder="1" applyAlignment="1">
      <alignment horizontal="left"/>
    </xf>
    <xf numFmtId="0" fontId="2" fillId="0" borderId="0" xfId="0" applyFont="1" applyBorder="1" applyAlignment="1"/>
    <xf numFmtId="0" fontId="2" fillId="0" borderId="16" xfId="0" applyFont="1" applyBorder="1" applyAlignment="1"/>
    <xf numFmtId="0" fontId="2" fillId="0" borderId="9" xfId="0" applyFont="1" applyBorder="1" applyAlignment="1">
      <alignment horizontal="right"/>
    </xf>
    <xf numFmtId="0" fontId="8" fillId="0" borderId="8" xfId="0" applyFont="1" applyBorder="1" applyAlignment="1">
      <alignment horizontal="center"/>
    </xf>
    <xf numFmtId="0" fontId="3" fillId="0" borderId="16" xfId="0" applyFont="1" applyBorder="1" applyAlignment="1">
      <alignment horizontal="center"/>
    </xf>
    <xf numFmtId="0" fontId="2" fillId="0" borderId="10" xfId="0" applyFont="1" applyBorder="1"/>
    <xf numFmtId="0" fontId="2" fillId="0" borderId="12" xfId="0" applyFont="1" applyBorder="1"/>
    <xf numFmtId="0" fontId="2" fillId="0" borderId="14" xfId="0" applyFont="1" applyBorder="1"/>
    <xf numFmtId="0" fontId="5" fillId="0" borderId="0" xfId="0" applyFont="1" applyAlignment="1">
      <alignment horizontal="center"/>
    </xf>
    <xf numFmtId="0" fontId="5" fillId="0" borderId="0" xfId="0" applyFont="1"/>
    <xf numFmtId="0" fontId="5" fillId="0" borderId="6" xfId="0" applyFont="1" applyBorder="1" applyAlignment="1">
      <alignment horizontal="center"/>
    </xf>
    <xf numFmtId="0" fontId="3" fillId="0" borderId="15" xfId="0" applyFont="1" applyBorder="1" applyAlignment="1">
      <alignment horizontal="center"/>
    </xf>
    <xf numFmtId="0" fontId="2" fillId="0" borderId="16" xfId="0" applyFont="1" applyBorder="1" applyAlignment="1">
      <alignment horizontal="left"/>
    </xf>
    <xf numFmtId="0" fontId="5" fillId="0" borderId="0" xfId="0" applyFont="1" applyAlignment="1">
      <alignment horizontal="left"/>
    </xf>
    <xf numFmtId="0" fontId="2" fillId="0" borderId="0" xfId="0" applyFont="1" applyBorder="1" applyAlignment="1">
      <alignment horizontal="left"/>
    </xf>
    <xf numFmtId="0" fontId="2" fillId="0" borderId="8" xfId="0" applyFont="1" applyBorder="1"/>
    <xf numFmtId="0" fontId="2" fillId="0" borderId="5" xfId="0" applyFont="1" applyBorder="1"/>
    <xf numFmtId="0" fontId="2" fillId="0" borderId="9" xfId="0" applyFont="1" applyBorder="1" applyAlignment="1">
      <alignment horizontal="left"/>
    </xf>
    <xf numFmtId="0" fontId="5" fillId="0" borderId="12" xfId="0" applyFont="1" applyBorder="1" applyAlignment="1">
      <alignment horizontal="center"/>
    </xf>
    <xf numFmtId="0" fontId="2" fillId="0" borderId="5" xfId="0" applyFont="1" applyFill="1" applyBorder="1" applyAlignment="1">
      <alignment horizontal="center"/>
    </xf>
    <xf numFmtId="2" fontId="2" fillId="0" borderId="5" xfId="0" applyNumberFormat="1" applyFont="1" applyFill="1" applyBorder="1" applyAlignment="1">
      <alignment horizontal="center"/>
    </xf>
    <xf numFmtId="2" fontId="2" fillId="0" borderId="5" xfId="0" applyNumberFormat="1" applyFont="1" applyBorder="1" applyAlignment="1">
      <alignment horizontal="center"/>
    </xf>
    <xf numFmtId="0" fontId="2" fillId="0" borderId="4" xfId="0" applyFont="1" applyBorder="1"/>
    <xf numFmtId="170" fontId="7" fillId="2" borderId="5" xfId="0" applyNumberFormat="1" applyFont="1" applyFill="1" applyBorder="1" applyAlignment="1">
      <alignment horizontal="center"/>
    </xf>
    <xf numFmtId="170" fontId="7" fillId="2" borderId="6" xfId="0" applyNumberFormat="1" applyFont="1" applyFill="1" applyBorder="1" applyAlignment="1">
      <alignment horizontal="center"/>
    </xf>
    <xf numFmtId="170" fontId="6" fillId="2" borderId="5" xfId="0" applyNumberFormat="1" applyFont="1" applyFill="1" applyBorder="1" applyAlignment="1">
      <alignment horizontal="center"/>
    </xf>
    <xf numFmtId="1" fontId="7" fillId="2" borderId="5" xfId="0" applyNumberFormat="1" applyFont="1" applyFill="1" applyBorder="1" applyAlignment="1">
      <alignment horizontal="center"/>
    </xf>
    <xf numFmtId="170" fontId="7" fillId="2" borderId="3" xfId="0" applyNumberFormat="1" applyFont="1" applyFill="1"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5" fillId="0" borderId="10" xfId="0" applyFont="1" applyBorder="1" applyAlignment="1">
      <alignment horizontal="center"/>
    </xf>
    <xf numFmtId="0" fontId="5" fillId="0" borderId="14" xfId="0" applyFont="1" applyBorder="1" applyAlignment="1">
      <alignment horizontal="center"/>
    </xf>
    <xf numFmtId="0" fontId="19" fillId="0" borderId="16" xfId="0" applyFont="1" applyBorder="1" applyAlignment="1">
      <alignment horizontal="center"/>
    </xf>
    <xf numFmtId="0" fontId="5" fillId="0" borderId="12" xfId="0" applyFont="1" applyBorder="1" applyAlignment="1">
      <alignment horizontal="center" wrapText="1"/>
    </xf>
    <xf numFmtId="0" fontId="5" fillId="0" borderId="0" xfId="0" applyFont="1" applyBorder="1" applyAlignment="1">
      <alignment horizontal="center" wrapText="1"/>
    </xf>
    <xf numFmtId="49" fontId="6" fillId="2" borderId="5" xfId="0" applyNumberFormat="1" applyFont="1" applyFill="1" applyBorder="1" applyAlignment="1">
      <alignment horizontal="center"/>
    </xf>
    <xf numFmtId="0" fontId="5" fillId="0" borderId="5" xfId="0" applyFont="1" applyBorder="1" applyAlignment="1">
      <alignment horizontal="center" wrapText="1"/>
    </xf>
    <xf numFmtId="0" fontId="5" fillId="0" borderId="6" xfId="0" applyFont="1" applyBorder="1" applyAlignment="1">
      <alignment horizontal="center" wrapText="1"/>
    </xf>
    <xf numFmtId="0" fontId="5" fillId="0" borderId="8" xfId="0" applyFont="1" applyBorder="1" applyAlignment="1">
      <alignment horizontal="center" wrapText="1"/>
    </xf>
    <xf numFmtId="0" fontId="5" fillId="0" borderId="7" xfId="0" applyFont="1" applyBorder="1" applyAlignment="1">
      <alignment horizontal="center" wrapText="1"/>
    </xf>
    <xf numFmtId="2" fontId="5" fillId="0" borderId="5" xfId="0" applyNumberFormat="1" applyFont="1" applyBorder="1" applyAlignment="1">
      <alignment horizontal="center" wrapText="1"/>
    </xf>
    <xf numFmtId="2" fontId="6" fillId="2" borderId="5" xfId="0" applyNumberFormat="1" applyFont="1" applyFill="1" applyBorder="1" applyAlignment="1">
      <alignment horizontal="center" wrapText="1"/>
    </xf>
    <xf numFmtId="1" fontId="6" fillId="2" borderId="5" xfId="0" applyNumberFormat="1" applyFont="1" applyFill="1" applyBorder="1" applyAlignment="1">
      <alignment horizontal="center"/>
    </xf>
    <xf numFmtId="1" fontId="6" fillId="2" borderId="5" xfId="0" applyNumberFormat="1" applyFont="1" applyFill="1" applyBorder="1" applyAlignment="1">
      <alignment horizontal="center" wrapText="1"/>
    </xf>
    <xf numFmtId="0" fontId="5" fillId="0" borderId="3" xfId="0" applyFont="1" applyBorder="1" applyAlignment="1">
      <alignment horizontal="center" wrapText="1"/>
    </xf>
    <xf numFmtId="0" fontId="5" fillId="0" borderId="13" xfId="0" applyFont="1" applyBorder="1" applyAlignment="1">
      <alignment horizontal="center" wrapText="1"/>
    </xf>
    <xf numFmtId="0" fontId="5" fillId="0" borderId="15" xfId="0" applyFont="1" applyBorder="1" applyAlignment="1">
      <alignment horizontal="center" wrapText="1"/>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horizontal="center"/>
    </xf>
    <xf numFmtId="0" fontId="5" fillId="0" borderId="0" xfId="0" applyFont="1" applyBorder="1" applyAlignment="1">
      <alignment horizontal="left"/>
    </xf>
    <xf numFmtId="0" fontId="8" fillId="0" borderId="0" xfId="0" applyFont="1" applyBorder="1" applyAlignment="1">
      <alignment horizontal="left"/>
    </xf>
    <xf numFmtId="0" fontId="8" fillId="0" borderId="12" xfId="0" applyFont="1" applyBorder="1" applyAlignment="1">
      <alignment horizontal="left" indent="1"/>
    </xf>
    <xf numFmtId="0" fontId="8" fillId="0" borderId="0" xfId="0" applyFont="1" applyBorder="1" applyAlignment="1">
      <alignment horizontal="left" indent="1"/>
    </xf>
    <xf numFmtId="0" fontId="5" fillId="0" borderId="17" xfId="0" applyFont="1" applyBorder="1" applyAlignment="1">
      <alignment horizontal="center" wrapText="1"/>
    </xf>
    <xf numFmtId="0" fontId="5" fillId="0" borderId="14" xfId="0" applyFont="1" applyBorder="1" applyAlignment="1">
      <alignment horizontal="center" wrapText="1"/>
    </xf>
    <xf numFmtId="170" fontId="5" fillId="0" borderId="5" xfId="0" applyNumberFormat="1" applyFont="1" applyFill="1" applyBorder="1" applyAlignment="1">
      <alignment horizontal="center" wrapText="1"/>
    </xf>
    <xf numFmtId="0" fontId="5" fillId="0" borderId="13" xfId="0" applyFont="1" applyBorder="1" applyAlignment="1">
      <alignment horizontal="center"/>
    </xf>
    <xf numFmtId="0" fontId="5" fillId="0" borderId="16" xfId="0" applyFont="1" applyBorder="1" applyAlignment="1">
      <alignment horizontal="center"/>
    </xf>
    <xf numFmtId="0" fontId="5" fillId="0" borderId="15" xfId="0" applyFont="1" applyBorder="1" applyAlignment="1">
      <alignment horizontal="center"/>
    </xf>
    <xf numFmtId="0" fontId="5" fillId="0" borderId="7" xfId="0" applyFont="1" applyBorder="1" applyAlignment="1">
      <alignment horizontal="center"/>
    </xf>
    <xf numFmtId="0" fontId="5" fillId="3" borderId="6" xfId="0" applyFont="1" applyFill="1" applyBorder="1" applyAlignment="1">
      <alignment horizontal="center" wrapText="1"/>
    </xf>
    <xf numFmtId="0" fontId="5" fillId="3" borderId="7" xfId="0" applyFont="1" applyFill="1" applyBorder="1" applyAlignment="1">
      <alignment horizontal="center" wrapText="1"/>
    </xf>
    <xf numFmtId="2" fontId="5" fillId="0" borderId="5" xfId="0" applyNumberFormat="1" applyFont="1" applyBorder="1" applyAlignment="1">
      <alignment horizontal="center"/>
    </xf>
    <xf numFmtId="0" fontId="5" fillId="3" borderId="8" xfId="0" applyFont="1" applyFill="1" applyBorder="1" applyAlignment="1">
      <alignment horizontal="center" wrapText="1"/>
    </xf>
    <xf numFmtId="0" fontId="5" fillId="0" borderId="16" xfId="0" applyFont="1" applyBorder="1" applyAlignment="1">
      <alignment horizontal="left"/>
    </xf>
    <xf numFmtId="0" fontId="5" fillId="0" borderId="10" xfId="0" applyFont="1" applyBorder="1" applyAlignment="1">
      <alignment horizontal="left"/>
    </xf>
    <xf numFmtId="0" fontId="5" fillId="0" borderId="17" xfId="0" applyFont="1" applyBorder="1" applyAlignment="1">
      <alignment horizontal="center"/>
    </xf>
    <xf numFmtId="0" fontId="5" fillId="0" borderId="14" xfId="0" applyFont="1" applyBorder="1" applyAlignment="1">
      <alignment horizontal="left"/>
    </xf>
    <xf numFmtId="0" fontId="5" fillId="0" borderId="12" xfId="0" applyFont="1" applyBorder="1"/>
    <xf numFmtId="0" fontId="5" fillId="0" borderId="13" xfId="0" applyFont="1" applyBorder="1"/>
    <xf numFmtId="0" fontId="5" fillId="0" borderId="15" xfId="0" applyFont="1" applyBorder="1"/>
    <xf numFmtId="11" fontId="5" fillId="0" borderId="7" xfId="0" applyNumberFormat="1" applyFont="1" applyBorder="1" applyAlignment="1">
      <alignment horizontal="center"/>
    </xf>
    <xf numFmtId="0" fontId="5" fillId="0" borderId="8" xfId="0" applyFont="1" applyBorder="1"/>
    <xf numFmtId="170" fontId="5" fillId="0" borderId="5" xfId="0" applyNumberFormat="1" applyFont="1" applyBorder="1" applyAlignment="1">
      <alignment horizontal="center"/>
    </xf>
    <xf numFmtId="2" fontId="6" fillId="2" borderId="5" xfId="0" applyNumberFormat="1" applyFont="1" applyFill="1" applyBorder="1" applyAlignment="1">
      <alignment horizontal="center"/>
    </xf>
    <xf numFmtId="1" fontId="5" fillId="0" borderId="5" xfId="0" applyNumberFormat="1" applyFont="1" applyBorder="1" applyAlignment="1">
      <alignment horizontal="center"/>
    </xf>
    <xf numFmtId="0" fontId="10" fillId="0" borderId="14" xfId="0" applyFont="1" applyBorder="1"/>
    <xf numFmtId="0" fontId="5" fillId="0" borderId="16" xfId="0" applyFont="1" applyBorder="1"/>
    <xf numFmtId="170" fontId="5" fillId="0" borderId="17" xfId="0" applyNumberFormat="1" applyFont="1" applyBorder="1" applyAlignment="1">
      <alignment horizontal="center"/>
    </xf>
    <xf numFmtId="0" fontId="5" fillId="0" borderId="17" xfId="0" applyFont="1" applyBorder="1"/>
    <xf numFmtId="0" fontId="5" fillId="0" borderId="11" xfId="0" applyFont="1" applyBorder="1" applyAlignment="1">
      <alignment horizontal="center"/>
    </xf>
    <xf numFmtId="2" fontId="5" fillId="0" borderId="5" xfId="0" applyNumberFormat="1" applyFont="1" applyFill="1" applyBorder="1" applyAlignment="1">
      <alignment horizontal="center"/>
    </xf>
    <xf numFmtId="2" fontId="7" fillId="2" borderId="5" xfId="0" applyNumberFormat="1" applyFont="1" applyFill="1" applyBorder="1" applyAlignment="1">
      <alignment horizontal="center"/>
    </xf>
    <xf numFmtId="0" fontId="5" fillId="0" borderId="10" xfId="0" applyFont="1" applyBorder="1" applyAlignment="1">
      <alignment horizontal="center" wrapText="1"/>
    </xf>
    <xf numFmtId="49" fontId="5" fillId="0" borderId="17" xfId="0" applyNumberFormat="1" applyFont="1" applyBorder="1" applyAlignment="1">
      <alignment horizontal="center" wrapText="1"/>
    </xf>
    <xf numFmtId="2" fontId="5" fillId="0" borderId="17" xfId="0" applyNumberFormat="1" applyFont="1" applyFill="1" applyBorder="1" applyAlignment="1">
      <alignment horizontal="center"/>
    </xf>
    <xf numFmtId="2" fontId="5" fillId="0" borderId="17" xfId="0" applyNumberFormat="1" applyFont="1" applyBorder="1" applyAlignment="1">
      <alignment horizontal="center"/>
    </xf>
    <xf numFmtId="2" fontId="16" fillId="0" borderId="17" xfId="0" applyNumberFormat="1" applyFont="1" applyBorder="1" applyAlignment="1">
      <alignment horizontal="center"/>
    </xf>
    <xf numFmtId="1" fontId="5" fillId="0" borderId="17" xfId="0" applyNumberFormat="1" applyFont="1" applyBorder="1" applyAlignment="1">
      <alignment horizontal="center"/>
    </xf>
    <xf numFmtId="2" fontId="5" fillId="0" borderId="11" xfId="0" applyNumberFormat="1" applyFont="1" applyBorder="1" applyAlignment="1">
      <alignment horizontal="center"/>
    </xf>
    <xf numFmtId="1" fontId="2" fillId="0" borderId="5" xfId="0" applyNumberFormat="1" applyFont="1" applyBorder="1" applyAlignment="1">
      <alignment horizontal="center"/>
    </xf>
    <xf numFmtId="0" fontId="6" fillId="2" borderId="5" xfId="0" applyNumberFormat="1" applyFont="1" applyFill="1" applyBorder="1" applyAlignment="1">
      <alignment horizontal="center" wrapText="1"/>
    </xf>
    <xf numFmtId="18" fontId="2" fillId="0" borderId="5" xfId="0" applyNumberFormat="1" applyFont="1" applyBorder="1" applyAlignment="1">
      <alignment horizontal="center"/>
    </xf>
    <xf numFmtId="170" fontId="5" fillId="0" borderId="5" xfId="0" applyNumberFormat="1" applyFont="1" applyFill="1" applyBorder="1" applyAlignment="1">
      <alignment horizontal="center"/>
    </xf>
    <xf numFmtId="170" fontId="2" fillId="0" borderId="5" xfId="0" applyNumberFormat="1" applyFont="1" applyFill="1" applyBorder="1" applyAlignment="1">
      <alignment horizontal="center"/>
    </xf>
    <xf numFmtId="1" fontId="5" fillId="0" borderId="5" xfId="0" applyNumberFormat="1" applyFont="1" applyFill="1" applyBorder="1" applyAlignment="1">
      <alignment horizontal="center"/>
    </xf>
    <xf numFmtId="0" fontId="5" fillId="0" borderId="6" xfId="0" applyFont="1" applyFill="1" applyBorder="1" applyAlignment="1">
      <alignment horizontal="center"/>
    </xf>
    <xf numFmtId="0" fontId="5" fillId="0" borderId="7" xfId="0" applyFont="1" applyFill="1" applyBorder="1" applyAlignment="1">
      <alignment horizontal="center"/>
    </xf>
    <xf numFmtId="2" fontId="6" fillId="2" borderId="3" xfId="0" applyNumberFormat="1" applyFont="1" applyFill="1" applyBorder="1" applyAlignment="1">
      <alignment horizontal="center" wrapText="1"/>
    </xf>
    <xf numFmtId="0" fontId="6" fillId="2" borderId="5" xfId="0" applyNumberFormat="1" applyFont="1" applyFill="1" applyBorder="1" applyAlignment="1">
      <alignment horizontal="center"/>
    </xf>
    <xf numFmtId="0" fontId="5" fillId="0" borderId="17" xfId="0" applyFont="1" applyBorder="1" applyAlignment="1">
      <alignment horizontal="left"/>
    </xf>
    <xf numFmtId="0" fontId="5" fillId="0" borderId="6" xfId="0" applyFont="1" applyFill="1" applyBorder="1" applyAlignment="1">
      <alignment horizontal="center" vertical="top"/>
    </xf>
    <xf numFmtId="0" fontId="5" fillId="0" borderId="8" xfId="0" applyFont="1" applyBorder="1" applyAlignment="1">
      <alignment horizontal="center" vertical="top"/>
    </xf>
    <xf numFmtId="2" fontId="6" fillId="2" borderId="5" xfId="0" applyNumberFormat="1" applyFont="1" applyFill="1" applyBorder="1" applyAlignment="1">
      <alignment horizontal="center" vertical="top"/>
    </xf>
    <xf numFmtId="2" fontId="24" fillId="0" borderId="9" xfId="0" applyNumberFormat="1" applyFont="1" applyFill="1" applyBorder="1" applyAlignment="1">
      <alignment horizontal="center" vertical="top"/>
    </xf>
    <xf numFmtId="2" fontId="24" fillId="0" borderId="9" xfId="0" applyNumberFormat="1" applyFont="1" applyFill="1" applyBorder="1" applyAlignment="1">
      <alignment horizontal="center" vertical="center"/>
    </xf>
    <xf numFmtId="170" fontId="5" fillId="0" borderId="9" xfId="0" applyNumberFormat="1" applyFont="1" applyFill="1" applyBorder="1" applyAlignment="1">
      <alignment horizontal="center"/>
    </xf>
    <xf numFmtId="0" fontId="5" fillId="0" borderId="3" xfId="0" applyFont="1" applyFill="1" applyBorder="1" applyAlignment="1">
      <alignment horizontal="center" wrapText="1"/>
    </xf>
    <xf numFmtId="0" fontId="5" fillId="0" borderId="9" xfId="0" applyNumberFormat="1" applyFont="1" applyFill="1" applyBorder="1" applyAlignment="1">
      <alignment horizontal="center" wrapText="1"/>
    </xf>
    <xf numFmtId="170" fontId="6" fillId="0" borderId="9" xfId="0" applyNumberFormat="1" applyFont="1" applyFill="1" applyBorder="1" applyAlignment="1">
      <alignment horizontal="center"/>
    </xf>
    <xf numFmtId="2" fontId="6" fillId="0" borderId="9" xfId="0" applyNumberFormat="1" applyFont="1" applyFill="1" applyBorder="1" applyAlignment="1">
      <alignment horizontal="center"/>
    </xf>
    <xf numFmtId="2" fontId="6" fillId="0" borderId="4" xfId="0" applyNumberFormat="1" applyFont="1" applyFill="1" applyBorder="1" applyAlignment="1">
      <alignment horizontal="center"/>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5" fillId="0" borderId="7" xfId="0" applyFont="1" applyFill="1" applyBorder="1" applyAlignment="1">
      <alignment horizontal="center" vertical="top"/>
    </xf>
    <xf numFmtId="0" fontId="8" fillId="0" borderId="7" xfId="0" applyFont="1" applyFill="1" applyBorder="1" applyAlignment="1">
      <alignment horizontal="center"/>
    </xf>
    <xf numFmtId="0" fontId="8" fillId="0" borderId="6" xfId="0" applyFont="1" applyFill="1" applyBorder="1" applyAlignment="1">
      <alignment horizontal="center"/>
    </xf>
    <xf numFmtId="171" fontId="5" fillId="0" borderId="5" xfId="0" applyNumberFormat="1" applyFont="1" applyFill="1" applyBorder="1" applyAlignment="1">
      <alignment horizontal="center"/>
    </xf>
    <xf numFmtId="1" fontId="5" fillId="0" borderId="8" xfId="0" applyNumberFormat="1" applyFont="1" applyFill="1" applyBorder="1" applyAlignment="1">
      <alignment horizontal="center"/>
    </xf>
    <xf numFmtId="171" fontId="5" fillId="0" borderId="9" xfId="0" applyNumberFormat="1" applyFont="1" applyFill="1" applyBorder="1" applyAlignment="1">
      <alignment horizontal="center"/>
    </xf>
    <xf numFmtId="49" fontId="6" fillId="0" borderId="9" xfId="0" applyNumberFormat="1" applyFont="1" applyFill="1" applyBorder="1" applyAlignment="1">
      <alignment horizontal="center"/>
    </xf>
    <xf numFmtId="2" fontId="5" fillId="0" borderId="4" xfId="0" applyNumberFormat="1" applyFont="1" applyFill="1" applyBorder="1" applyAlignment="1">
      <alignment horizontal="center"/>
    </xf>
    <xf numFmtId="49" fontId="5" fillId="0" borderId="9" xfId="0" applyNumberFormat="1" applyFont="1" applyFill="1" applyBorder="1" applyAlignment="1">
      <alignment horizontal="center" wrapText="1"/>
    </xf>
    <xf numFmtId="1" fontId="6" fillId="0" borderId="9" xfId="0" applyNumberFormat="1" applyFont="1" applyFill="1" applyBorder="1" applyAlignment="1">
      <alignment horizontal="center"/>
    </xf>
    <xf numFmtId="0" fontId="8" fillId="0" borderId="16" xfId="0" applyFont="1" applyBorder="1" applyAlignment="1">
      <alignment horizontal="left"/>
    </xf>
    <xf numFmtId="0" fontId="8" fillId="0" borderId="0" xfId="0" applyFont="1" applyBorder="1" applyAlignment="1">
      <alignment horizontal="center"/>
    </xf>
    <xf numFmtId="0" fontId="8" fillId="0" borderId="0" xfId="0" quotePrefix="1" applyFont="1" applyBorder="1" applyAlignment="1">
      <alignment horizontal="center"/>
    </xf>
    <xf numFmtId="164" fontId="5" fillId="0" borderId="0" xfId="7" applyFont="1"/>
    <xf numFmtId="164" fontId="5" fillId="0" borderId="0" xfId="7" applyFont="1" applyAlignment="1"/>
    <xf numFmtId="171" fontId="5" fillId="0" borderId="0" xfId="7" applyNumberFormat="1" applyFont="1" applyAlignment="1">
      <alignment horizontal="center"/>
    </xf>
    <xf numFmtId="164" fontId="5" fillId="0" borderId="14" xfId="7" applyFont="1" applyBorder="1" applyAlignment="1">
      <alignment horizontal="center"/>
    </xf>
    <xf numFmtId="164" fontId="5" fillId="0" borderId="15" xfId="7" applyFont="1" applyBorder="1" applyAlignment="1">
      <alignment horizontal="center"/>
    </xf>
    <xf numFmtId="164" fontId="5" fillId="0" borderId="12" xfId="7" applyFont="1" applyBorder="1"/>
    <xf numFmtId="164" fontId="5" fillId="0" borderId="0" xfId="7" applyFont="1" applyBorder="1"/>
    <xf numFmtId="164" fontId="5" fillId="0" borderId="13" xfId="7" applyFont="1" applyBorder="1"/>
    <xf numFmtId="49" fontId="5" fillId="4" borderId="6" xfId="7" applyNumberFormat="1" applyFont="1" applyFill="1" applyBorder="1" applyAlignment="1" applyProtection="1">
      <alignment horizontal="center"/>
    </xf>
    <xf numFmtId="49" fontId="5" fillId="0" borderId="6" xfId="7" applyNumberFormat="1" applyFont="1" applyFill="1" applyBorder="1" applyAlignment="1" applyProtection="1">
      <alignment horizontal="center"/>
    </xf>
    <xf numFmtId="164" fontId="6" fillId="0" borderId="0" xfId="7" applyFont="1" applyBorder="1" applyAlignment="1">
      <alignment horizontal="left" indent="1"/>
    </xf>
    <xf numFmtId="164" fontId="5" fillId="0" borderId="0" xfId="7" applyFont="1" applyAlignment="1">
      <alignment horizontal="center"/>
    </xf>
    <xf numFmtId="164" fontId="5" fillId="0" borderId="8" xfId="7" applyFont="1" applyBorder="1" applyAlignment="1">
      <alignment horizontal="center"/>
    </xf>
    <xf numFmtId="164" fontId="5" fillId="0" borderId="8" xfId="7" applyFont="1" applyFill="1" applyBorder="1" applyAlignment="1">
      <alignment horizontal="center"/>
    </xf>
    <xf numFmtId="3" fontId="5" fillId="0" borderId="5" xfId="7" applyNumberFormat="1" applyFont="1" applyFill="1" applyBorder="1" applyAlignment="1" applyProtection="1">
      <alignment horizontal="center"/>
    </xf>
    <xf numFmtId="49" fontId="5" fillId="4" borderId="10" xfId="7" applyNumberFormat="1" applyFont="1" applyFill="1" applyBorder="1" applyAlignment="1" applyProtection="1">
      <alignment horizontal="left"/>
    </xf>
    <xf numFmtId="49" fontId="5" fillId="4" borderId="11" xfId="7" applyNumberFormat="1" applyFont="1" applyFill="1" applyBorder="1" applyAlignment="1" applyProtection="1">
      <alignment horizontal="center"/>
    </xf>
    <xf numFmtId="49" fontId="5" fillId="3" borderId="10" xfId="7" applyNumberFormat="1" applyFont="1" applyFill="1" applyBorder="1" applyAlignment="1" applyProtection="1">
      <alignment horizontal="center"/>
    </xf>
    <xf numFmtId="164" fontId="5" fillId="0" borderId="14" xfId="7" applyFont="1" applyBorder="1" applyAlignment="1">
      <alignment horizontal="left"/>
    </xf>
    <xf numFmtId="164" fontId="5" fillId="3" borderId="12" xfId="7" applyFont="1" applyFill="1" applyBorder="1" applyAlignment="1">
      <alignment horizontal="center"/>
    </xf>
    <xf numFmtId="2" fontId="5" fillId="0" borderId="5" xfId="7" applyNumberFormat="1" applyFont="1" applyFill="1" applyBorder="1" applyAlignment="1" applyProtection="1">
      <alignment horizontal="center"/>
    </xf>
    <xf numFmtId="49" fontId="6" fillId="3" borderId="14" xfId="7" applyNumberFormat="1" applyFont="1" applyFill="1" applyBorder="1" applyAlignment="1" applyProtection="1">
      <alignment horizontal="center"/>
    </xf>
    <xf numFmtId="171" fontId="5" fillId="0" borderId="5" xfId="7" applyNumberFormat="1" applyFont="1" applyFill="1" applyBorder="1" applyAlignment="1" applyProtection="1">
      <alignment horizontal="center"/>
    </xf>
    <xf numFmtId="171" fontId="5" fillId="0" borderId="13" xfId="7" applyNumberFormat="1" applyFont="1" applyFill="1" applyBorder="1" applyAlignment="1" applyProtection="1">
      <alignment horizontal="center"/>
    </xf>
    <xf numFmtId="164" fontId="5" fillId="0" borderId="0" xfId="7" applyFont="1" applyAlignment="1">
      <alignment horizontal="right"/>
    </xf>
    <xf numFmtId="164" fontId="5" fillId="0" borderId="6" xfId="7" applyFont="1" applyBorder="1" applyAlignment="1">
      <alignment horizontal="center"/>
    </xf>
    <xf numFmtId="164" fontId="5" fillId="0" borderId="6" xfId="7" applyFont="1" applyFill="1" applyBorder="1" applyAlignment="1">
      <alignment horizontal="center"/>
    </xf>
    <xf numFmtId="164" fontId="5" fillId="0" borderId="7" xfId="7" applyFont="1" applyBorder="1" applyAlignment="1">
      <alignment horizontal="center"/>
    </xf>
    <xf numFmtId="164" fontId="5" fillId="0" borderId="7" xfId="7" applyFont="1" applyFill="1" applyBorder="1" applyAlignment="1">
      <alignment horizontal="center"/>
    </xf>
    <xf numFmtId="164" fontId="5" fillId="0" borderId="0" xfId="7" applyFont="1" applyAlignment="1">
      <alignment horizontal="left"/>
    </xf>
    <xf numFmtId="171" fontId="26" fillId="0" borderId="0" xfId="7" applyNumberFormat="1" applyFont="1" applyAlignment="1">
      <alignment horizontal="center"/>
    </xf>
    <xf numFmtId="171" fontId="5" fillId="0" borderId="3" xfId="7" applyNumberFormat="1" applyFont="1" applyFill="1" applyBorder="1" applyAlignment="1" applyProtection="1">
      <alignment horizontal="center"/>
    </xf>
    <xf numFmtId="171" fontId="5" fillId="0" borderId="5" xfId="7" applyNumberFormat="1" applyFont="1" applyFill="1" applyBorder="1" applyAlignment="1" applyProtection="1">
      <alignment horizontal="center"/>
      <protection locked="0"/>
    </xf>
    <xf numFmtId="171" fontId="5" fillId="0" borderId="0" xfId="7" applyNumberFormat="1" applyFont="1" applyFill="1" applyAlignment="1">
      <alignment horizontal="center"/>
    </xf>
    <xf numFmtId="164" fontId="5" fillId="0" borderId="0" xfId="7" applyFont="1" applyFill="1" applyBorder="1"/>
    <xf numFmtId="164" fontId="5" fillId="0" borderId="0" xfId="7" quotePrefix="1" applyFont="1"/>
    <xf numFmtId="164" fontId="26" fillId="0" borderId="0" xfId="7" applyFont="1" applyAlignment="1">
      <alignment horizontal="right"/>
    </xf>
    <xf numFmtId="49" fontId="5" fillId="0" borderId="11" xfId="7" applyNumberFormat="1" applyFont="1" applyFill="1" applyBorder="1" applyAlignment="1" applyProtection="1">
      <alignment horizontal="center"/>
    </xf>
    <xf numFmtId="164" fontId="5" fillId="0" borderId="13" xfId="7" applyFont="1" applyFill="1" applyBorder="1" applyAlignment="1">
      <alignment horizontal="center"/>
    </xf>
    <xf numFmtId="164" fontId="5" fillId="0" borderId="13" xfId="7" applyFont="1" applyBorder="1" applyAlignment="1">
      <alignment horizontal="center"/>
    </xf>
    <xf numFmtId="164" fontId="5" fillId="0" borderId="8" xfId="7" quotePrefix="1" applyFont="1" applyBorder="1" applyAlignment="1">
      <alignment horizontal="center"/>
    </xf>
    <xf numFmtId="164" fontId="5" fillId="0" borderId="15" xfId="7" applyFont="1" applyFill="1" applyBorder="1" applyAlignment="1">
      <alignment horizontal="center"/>
    </xf>
    <xf numFmtId="164" fontId="5" fillId="0" borderId="10" xfId="7" applyFont="1" applyBorder="1"/>
    <xf numFmtId="164" fontId="5" fillId="0" borderId="17" xfId="7" applyFont="1" applyFill="1" applyBorder="1"/>
    <xf numFmtId="164" fontId="5" fillId="0" borderId="17" xfId="7" applyFont="1" applyBorder="1"/>
    <xf numFmtId="164" fontId="5" fillId="0" borderId="11" xfId="7" applyFont="1" applyBorder="1"/>
    <xf numFmtId="164" fontId="5" fillId="0" borderId="14" xfId="7" applyFont="1" applyBorder="1"/>
    <xf numFmtId="164" fontId="5" fillId="0" borderId="16" xfId="7" applyFont="1" applyBorder="1"/>
    <xf numFmtId="164" fontId="5" fillId="0" borderId="15" xfId="7" applyFont="1" applyBorder="1"/>
    <xf numFmtId="164" fontId="10" fillId="0" borderId="0" xfId="7" applyFont="1"/>
    <xf numFmtId="164" fontId="5" fillId="0" borderId="0" xfId="7" applyFont="1" applyAlignment="1">
      <alignment horizontal="left" indent="1"/>
    </xf>
    <xf numFmtId="164" fontId="5" fillId="3" borderId="10" xfId="7" applyFont="1" applyFill="1" applyBorder="1"/>
    <xf numFmtId="164" fontId="5" fillId="3" borderId="17" xfId="7" applyFont="1" applyFill="1" applyBorder="1"/>
    <xf numFmtId="164" fontId="5" fillId="3" borderId="11" xfId="7" applyFont="1" applyFill="1" applyBorder="1"/>
    <xf numFmtId="164" fontId="5" fillId="0" borderId="0" xfId="7" applyFont="1" applyBorder="1" applyAlignment="1">
      <alignment horizontal="center"/>
    </xf>
    <xf numFmtId="164" fontId="5" fillId="3" borderId="12" xfId="7" applyFont="1" applyFill="1" applyBorder="1"/>
    <xf numFmtId="164" fontId="5" fillId="3" borderId="0" xfId="7" applyFont="1" applyFill="1" applyBorder="1"/>
    <xf numFmtId="164" fontId="5" fillId="3" borderId="13" xfId="7" applyFont="1" applyFill="1" applyBorder="1"/>
    <xf numFmtId="164" fontId="5" fillId="3" borderId="14" xfId="7" applyFont="1" applyFill="1" applyBorder="1"/>
    <xf numFmtId="164" fontId="5" fillId="3" borderId="16" xfId="7" applyFont="1" applyFill="1" applyBorder="1"/>
    <xf numFmtId="164" fontId="5" fillId="3" borderId="15" xfId="7" applyFont="1" applyFill="1" applyBorder="1"/>
    <xf numFmtId="164" fontId="6" fillId="0" borderId="13" xfId="7" applyFont="1" applyBorder="1" applyAlignment="1">
      <alignment horizontal="right"/>
    </xf>
    <xf numFmtId="0" fontId="5" fillId="3" borderId="10" xfId="7" applyNumberFormat="1" applyFont="1" applyFill="1" applyBorder="1" applyAlignment="1" applyProtection="1">
      <alignment horizontal="center"/>
    </xf>
    <xf numFmtId="0" fontId="5" fillId="3" borderId="17" xfId="7" applyNumberFormat="1" applyFont="1" applyFill="1" applyBorder="1" applyAlignment="1" applyProtection="1">
      <alignment horizontal="center"/>
    </xf>
    <xf numFmtId="0" fontId="5" fillId="3" borderId="11" xfId="7" applyNumberFormat="1" applyFont="1" applyFill="1" applyBorder="1" applyAlignment="1" applyProtection="1">
      <alignment horizontal="center"/>
    </xf>
    <xf numFmtId="0" fontId="5" fillId="3" borderId="12" xfId="7" applyNumberFormat="1" applyFont="1" applyFill="1" applyBorder="1" applyAlignment="1">
      <alignment horizontal="center"/>
    </xf>
    <xf numFmtId="0" fontId="5" fillId="3" borderId="0" xfId="7" applyNumberFormat="1" applyFont="1" applyFill="1" applyBorder="1" applyAlignment="1">
      <alignment horizontal="center"/>
    </xf>
    <xf numFmtId="0" fontId="5" fillId="3" borderId="13" xfId="7" applyNumberFormat="1" applyFont="1" applyFill="1" applyBorder="1" applyAlignment="1">
      <alignment horizontal="center"/>
    </xf>
    <xf numFmtId="0" fontId="16" fillId="3" borderId="14" xfId="7" applyNumberFormat="1" applyFont="1" applyFill="1" applyBorder="1" applyAlignment="1" applyProtection="1">
      <alignment horizontal="center"/>
    </xf>
    <xf numFmtId="0" fontId="16" fillId="3" borderId="16" xfId="7" applyNumberFormat="1" applyFont="1" applyFill="1" applyBorder="1" applyAlignment="1" applyProtection="1">
      <alignment horizontal="center"/>
    </xf>
    <xf numFmtId="0" fontId="16" fillId="3" borderId="16" xfId="7" applyNumberFormat="1" applyFont="1" applyFill="1" applyBorder="1" applyAlignment="1" applyProtection="1">
      <alignment horizontal="center"/>
      <protection locked="0"/>
    </xf>
    <xf numFmtId="0" fontId="5" fillId="3" borderId="16" xfId="7" applyNumberFormat="1" applyFont="1" applyFill="1" applyBorder="1" applyAlignment="1" applyProtection="1">
      <alignment horizontal="center"/>
    </xf>
    <xf numFmtId="0" fontId="6" fillId="3" borderId="16" xfId="7" applyNumberFormat="1" applyFont="1" applyFill="1" applyBorder="1" applyAlignment="1" applyProtection="1">
      <alignment horizontal="center"/>
    </xf>
    <xf numFmtId="0" fontId="5" fillId="3" borderId="15" xfId="7" applyNumberFormat="1" applyFont="1" applyFill="1" applyBorder="1" applyAlignment="1" applyProtection="1">
      <alignment horizontal="center"/>
    </xf>
    <xf numFmtId="164" fontId="5" fillId="0" borderId="10" xfId="7" applyFont="1" applyFill="1" applyBorder="1" applyAlignment="1">
      <alignment horizontal="center"/>
    </xf>
    <xf numFmtId="164" fontId="5" fillId="0" borderId="12" xfId="7" applyFont="1" applyFill="1" applyBorder="1" applyAlignment="1">
      <alignment horizontal="center"/>
    </xf>
    <xf numFmtId="164" fontId="5" fillId="0" borderId="14" xfId="7" applyFont="1" applyFill="1" applyBorder="1" applyAlignment="1">
      <alignment horizontal="center"/>
    </xf>
    <xf numFmtId="1" fontId="5" fillId="0" borderId="5" xfId="7" applyNumberFormat="1" applyFont="1" applyFill="1" applyBorder="1" applyAlignment="1" applyProtection="1">
      <alignment horizontal="center"/>
    </xf>
    <xf numFmtId="164" fontId="5" fillId="0" borderId="12" xfId="7" applyFont="1" applyFill="1" applyBorder="1"/>
    <xf numFmtId="164" fontId="5" fillId="3" borderId="10" xfId="7" applyFont="1" applyFill="1" applyBorder="1" applyAlignment="1">
      <alignment horizontal="center"/>
    </xf>
    <xf numFmtId="164" fontId="5" fillId="3" borderId="17" xfId="7" applyFont="1" applyFill="1" applyBorder="1" applyAlignment="1">
      <alignment horizontal="center"/>
    </xf>
    <xf numFmtId="164" fontId="5" fillId="0" borderId="10" xfId="7" applyFont="1" applyBorder="1" applyAlignment="1">
      <alignment horizontal="center"/>
    </xf>
    <xf numFmtId="164" fontId="5" fillId="3" borderId="0" xfId="7" applyFont="1" applyFill="1" applyBorder="1" applyAlignment="1">
      <alignment horizontal="center"/>
    </xf>
    <xf numFmtId="164" fontId="5" fillId="0" borderId="12" xfId="7" applyFont="1" applyBorder="1" applyAlignment="1">
      <alignment horizontal="center"/>
    </xf>
    <xf numFmtId="171" fontId="5" fillId="0" borderId="3" xfId="7" applyNumberFormat="1" applyFont="1" applyFill="1" applyBorder="1" applyAlignment="1" applyProtection="1">
      <alignment horizontal="center"/>
      <protection locked="0"/>
    </xf>
    <xf numFmtId="1" fontId="6" fillId="0" borderId="5" xfId="7" applyNumberFormat="1" applyFont="1" applyFill="1" applyBorder="1" applyAlignment="1" applyProtection="1">
      <alignment horizontal="center"/>
    </xf>
    <xf numFmtId="3" fontId="6" fillId="2" borderId="5" xfId="7" applyNumberFormat="1" applyFont="1" applyFill="1" applyBorder="1" applyAlignment="1" applyProtection="1">
      <alignment horizontal="center"/>
    </xf>
    <xf numFmtId="171" fontId="5" fillId="0" borderId="5" xfId="7" quotePrefix="1" applyNumberFormat="1" applyFont="1" applyFill="1" applyBorder="1" applyAlignment="1" applyProtection="1">
      <alignment horizontal="center"/>
      <protection locked="0"/>
    </xf>
    <xf numFmtId="164" fontId="6" fillId="0" borderId="0" xfId="7" applyFont="1" applyBorder="1"/>
    <xf numFmtId="164" fontId="6" fillId="2" borderId="5" xfId="7" applyFont="1" applyFill="1" applyBorder="1" applyAlignment="1">
      <alignment horizontal="center"/>
    </xf>
    <xf numFmtId="164" fontId="14" fillId="3" borderId="10" xfId="7" applyFill="1" applyBorder="1" applyAlignment="1">
      <alignment horizontal="center"/>
    </xf>
    <xf numFmtId="49" fontId="5" fillId="3" borderId="0" xfId="7" applyNumberFormat="1" applyFont="1" applyFill="1" applyBorder="1" applyAlignment="1" applyProtection="1">
      <alignment horizontal="center"/>
    </xf>
    <xf numFmtId="164" fontId="6" fillId="3" borderId="16" xfId="7" applyFont="1" applyFill="1" applyBorder="1"/>
    <xf numFmtId="3" fontId="5" fillId="3" borderId="16" xfId="7" applyNumberFormat="1" applyFont="1" applyFill="1" applyBorder="1" applyAlignment="1" applyProtection="1">
      <alignment horizontal="center"/>
    </xf>
    <xf numFmtId="164" fontId="6" fillId="3" borderId="15" xfId="7" applyFont="1" applyFill="1" applyBorder="1"/>
    <xf numFmtId="164" fontId="5" fillId="0" borderId="3" xfId="7" applyFont="1" applyBorder="1"/>
    <xf numFmtId="164" fontId="5" fillId="0" borderId="9" xfId="7" applyFont="1" applyBorder="1"/>
    <xf numFmtId="164" fontId="5" fillId="0" borderId="4" xfId="7" applyFont="1" applyBorder="1"/>
    <xf numFmtId="49" fontId="5" fillId="3" borderId="17" xfId="7" applyNumberFormat="1" applyFont="1" applyFill="1" applyBorder="1" applyAlignment="1" applyProtection="1">
      <alignment horizontal="center"/>
    </xf>
    <xf numFmtId="1" fontId="28" fillId="3" borderId="16" xfId="7" applyNumberFormat="1" applyFont="1" applyFill="1" applyBorder="1" applyAlignment="1" applyProtection="1">
      <alignment horizontal="center"/>
      <protection locked="0"/>
    </xf>
    <xf numFmtId="164" fontId="5" fillId="0" borderId="3" xfId="7" applyFont="1" applyFill="1" applyBorder="1"/>
    <xf numFmtId="164" fontId="5" fillId="0" borderId="9" xfId="7" applyFont="1" applyFill="1" applyBorder="1"/>
    <xf numFmtId="0" fontId="28" fillId="3" borderId="14" xfId="7" applyNumberFormat="1" applyFont="1" applyFill="1" applyBorder="1" applyAlignment="1" applyProtection="1">
      <alignment horizontal="center"/>
    </xf>
    <xf numFmtId="0" fontId="28" fillId="3" borderId="16" xfId="7" applyNumberFormat="1" applyFont="1" applyFill="1" applyBorder="1" applyAlignment="1" applyProtection="1">
      <alignment horizontal="center"/>
    </xf>
    <xf numFmtId="0" fontId="28" fillId="3" borderId="16" xfId="7" applyNumberFormat="1" applyFont="1" applyFill="1" applyBorder="1" applyAlignment="1" applyProtection="1">
      <alignment horizontal="center"/>
      <protection locked="0"/>
    </xf>
    <xf numFmtId="0" fontId="28" fillId="3" borderId="15" xfId="7" applyNumberFormat="1" applyFont="1" applyFill="1" applyBorder="1" applyAlignment="1" applyProtection="1">
      <alignment horizontal="center"/>
    </xf>
    <xf numFmtId="171" fontId="5" fillId="0" borderId="6" xfId="7" applyNumberFormat="1" applyFont="1" applyFill="1" applyBorder="1" applyAlignment="1" applyProtection="1">
      <alignment horizontal="center"/>
    </xf>
    <xf numFmtId="171" fontId="5" fillId="0" borderId="6" xfId="7" applyNumberFormat="1" applyFont="1" applyFill="1" applyBorder="1" applyAlignment="1" applyProtection="1">
      <alignment horizontal="center"/>
      <protection locked="0"/>
    </xf>
    <xf numFmtId="164" fontId="5" fillId="0" borderId="0" xfId="7" applyFont="1" applyBorder="1" applyAlignment="1">
      <alignment horizontal="right"/>
    </xf>
    <xf numFmtId="164" fontId="5" fillId="0" borderId="11" xfId="7" applyFont="1" applyBorder="1" applyAlignment="1">
      <alignment horizontal="center"/>
    </xf>
    <xf numFmtId="164" fontId="5" fillId="0" borderId="13" xfId="7" applyFont="1" applyBorder="1" applyAlignment="1">
      <alignment horizontal="right"/>
    </xf>
    <xf numFmtId="3" fontId="2" fillId="0" borderId="5" xfId="0" applyNumberFormat="1" applyFont="1" applyBorder="1" applyAlignment="1">
      <alignment horizontal="center"/>
    </xf>
    <xf numFmtId="0" fontId="5" fillId="0" borderId="16" xfId="0" applyFont="1" applyBorder="1" applyAlignment="1">
      <alignment horizontal="center" wrapText="1"/>
    </xf>
    <xf numFmtId="1" fontId="5" fillId="0" borderId="6" xfId="0" applyNumberFormat="1" applyFont="1" applyFill="1" applyBorder="1" applyAlignment="1">
      <alignment horizontal="center" wrapText="1"/>
    </xf>
    <xf numFmtId="0" fontId="5" fillId="0" borderId="9" xfId="0" applyFont="1" applyBorder="1" applyAlignment="1">
      <alignment horizontal="left"/>
    </xf>
    <xf numFmtId="0" fontId="5" fillId="0" borderId="9" xfId="0" applyFont="1" applyBorder="1" applyAlignment="1">
      <alignment horizontal="left" wrapText="1"/>
    </xf>
    <xf numFmtId="0" fontId="5" fillId="0" borderId="4" xfId="0" applyFont="1" applyBorder="1" applyAlignment="1">
      <alignment horizontal="left"/>
    </xf>
    <xf numFmtId="2" fontId="6" fillId="3" borderId="5" xfId="0" applyNumberFormat="1" applyFont="1" applyFill="1" applyBorder="1" applyAlignment="1">
      <alignment horizontal="center" wrapText="1"/>
    </xf>
    <xf numFmtId="1" fontId="6" fillId="3" borderId="5" xfId="0" applyNumberFormat="1" applyFont="1" applyFill="1" applyBorder="1" applyAlignment="1">
      <alignment horizontal="center"/>
    </xf>
    <xf numFmtId="1" fontId="6" fillId="3" borderId="5" xfId="0" applyNumberFormat="1" applyFont="1" applyFill="1" applyBorder="1" applyAlignment="1">
      <alignment horizontal="center" wrapText="1"/>
    </xf>
    <xf numFmtId="170" fontId="5" fillId="3" borderId="5" xfId="0" applyNumberFormat="1" applyFont="1" applyFill="1" applyBorder="1" applyAlignment="1">
      <alignment horizontal="center" wrapText="1"/>
    </xf>
    <xf numFmtId="170" fontId="6" fillId="2" borderId="8" xfId="0" applyNumberFormat="1" applyFont="1" applyFill="1" applyBorder="1" applyAlignment="1">
      <alignment horizontal="center"/>
    </xf>
    <xf numFmtId="2" fontId="6" fillId="2" borderId="8" xfId="0" applyNumberFormat="1" applyFont="1" applyFill="1" applyBorder="1" applyAlignment="1">
      <alignment horizontal="center"/>
    </xf>
    <xf numFmtId="0" fontId="5" fillId="0" borderId="6" xfId="0" applyFont="1" applyBorder="1"/>
    <xf numFmtId="0" fontId="5" fillId="0" borderId="7" xfId="0" applyFont="1" applyBorder="1"/>
    <xf numFmtId="170" fontId="6" fillId="2" borderId="5" xfId="0" applyNumberFormat="1" applyFont="1" applyFill="1" applyBorder="1" applyAlignment="1">
      <alignment horizontal="center" wrapText="1"/>
    </xf>
    <xf numFmtId="170" fontId="6" fillId="3" borderId="6" xfId="0" applyNumberFormat="1" applyFont="1" applyFill="1" applyBorder="1" applyAlignment="1">
      <alignment horizontal="center"/>
    </xf>
    <xf numFmtId="170" fontId="6" fillId="3" borderId="7" xfId="0" applyNumberFormat="1" applyFont="1" applyFill="1" applyBorder="1" applyAlignment="1">
      <alignment horizontal="center"/>
    </xf>
    <xf numFmtId="170" fontId="6" fillId="3" borderId="8" xfId="0" applyNumberFormat="1" applyFont="1" applyFill="1" applyBorder="1" applyAlignment="1">
      <alignment horizontal="center"/>
    </xf>
    <xf numFmtId="0" fontId="5" fillId="0" borderId="10" xfId="0" applyFont="1" applyBorder="1"/>
    <xf numFmtId="0" fontId="5" fillId="0" borderId="11" xfId="0" applyFont="1" applyBorder="1"/>
    <xf numFmtId="0" fontId="5" fillId="0" borderId="14" xfId="0" applyFont="1" applyBorder="1"/>
    <xf numFmtId="0" fontId="0" fillId="0" borderId="9" xfId="0" applyBorder="1" applyAlignment="1">
      <alignment horizontal="left"/>
    </xf>
    <xf numFmtId="0" fontId="0" fillId="0" borderId="4" xfId="0" applyBorder="1" applyAlignment="1">
      <alignment horizontal="left"/>
    </xf>
    <xf numFmtId="0" fontId="24" fillId="0" borderId="3" xfId="0" applyNumberFormat="1" applyFont="1" applyFill="1" applyBorder="1" applyAlignment="1">
      <alignment horizontal="center"/>
    </xf>
    <xf numFmtId="1" fontId="5" fillId="0" borderId="6" xfId="0" applyNumberFormat="1" applyFont="1" applyFill="1" applyBorder="1" applyAlignment="1">
      <alignment horizontal="center"/>
    </xf>
    <xf numFmtId="0" fontId="5" fillId="0" borderId="5" xfId="0" applyFont="1" applyBorder="1" applyAlignment="1">
      <alignment horizontal="center" vertical="top"/>
    </xf>
    <xf numFmtId="0" fontId="5" fillId="0" borderId="11" xfId="0" applyFont="1" applyBorder="1" applyAlignment="1">
      <alignment horizontal="center" vertical="top"/>
    </xf>
    <xf numFmtId="0" fontId="5" fillId="0" borderId="13" xfId="0" applyFont="1" applyBorder="1" applyAlignment="1">
      <alignment horizontal="center" vertical="top"/>
    </xf>
    <xf numFmtId="0" fontId="0" fillId="0" borderId="9" xfId="0" applyFill="1" applyBorder="1" applyAlignment="1">
      <alignment horizontal="center"/>
    </xf>
    <xf numFmtId="0" fontId="6" fillId="0" borderId="9" xfId="0" applyNumberFormat="1" applyFont="1" applyFill="1" applyBorder="1" applyAlignment="1">
      <alignment horizontal="center"/>
    </xf>
    <xf numFmtId="0" fontId="5" fillId="0" borderId="0" xfId="0" applyFont="1" applyBorder="1" applyAlignment="1">
      <alignment horizontal="right"/>
    </xf>
    <xf numFmtId="0" fontId="5" fillId="0" borderId="0" xfId="0" applyFont="1" applyBorder="1"/>
    <xf numFmtId="171" fontId="6" fillId="2" borderId="5" xfId="0" applyNumberFormat="1" applyFont="1" applyFill="1" applyBorder="1" applyAlignment="1">
      <alignment horizontal="center" wrapText="1"/>
    </xf>
    <xf numFmtId="0" fontId="24" fillId="0" borderId="9" xfId="0" applyFont="1" applyFill="1" applyBorder="1" applyAlignment="1">
      <alignment horizontal="center"/>
    </xf>
    <xf numFmtId="1" fontId="24" fillId="0" borderId="9" xfId="0" applyNumberFormat="1" applyFont="1" applyFill="1" applyBorder="1" applyAlignment="1">
      <alignment horizontal="center"/>
    </xf>
    <xf numFmtId="1" fontId="24" fillId="0" borderId="9" xfId="0" applyNumberFormat="1" applyFont="1" applyFill="1" applyBorder="1" applyAlignment="1">
      <alignment horizontal="center" vertical="top"/>
    </xf>
    <xf numFmtId="0" fontId="24" fillId="0" borderId="9" xfId="0" applyFont="1" applyFill="1" applyBorder="1" applyAlignment="1">
      <alignment horizontal="center" vertical="top"/>
    </xf>
    <xf numFmtId="0" fontId="31" fillId="0" borderId="9" xfId="0" applyFont="1" applyFill="1" applyBorder="1" applyAlignment="1">
      <alignment horizontal="left" vertical="top" wrapText="1"/>
    </xf>
    <xf numFmtId="0" fontId="30" fillId="0" borderId="4" xfId="0" applyFont="1" applyFill="1" applyBorder="1" applyAlignment="1">
      <alignment horizontal="center"/>
    </xf>
    <xf numFmtId="0" fontId="0" fillId="0" borderId="14" xfId="0" applyBorder="1" applyAlignment="1">
      <alignment vertical="top"/>
    </xf>
    <xf numFmtId="0" fontId="2" fillId="0" borderId="16" xfId="0" applyFont="1" applyBorder="1" applyAlignment="1">
      <alignment horizontal="right" vertical="top"/>
    </xf>
    <xf numFmtId="0" fontId="0" fillId="0" borderId="5" xfId="0" applyBorder="1" applyAlignment="1">
      <alignment vertical="top"/>
    </xf>
    <xf numFmtId="49" fontId="6" fillId="0" borderId="16" xfId="0" applyNumberFormat="1" applyFont="1" applyFill="1" applyBorder="1" applyAlignment="1">
      <alignment horizontal="center"/>
    </xf>
    <xf numFmtId="2" fontId="6" fillId="0" borderId="16" xfId="0" applyNumberFormat="1" applyFont="1" applyFill="1" applyBorder="1" applyAlignment="1">
      <alignment horizontal="center"/>
    </xf>
    <xf numFmtId="0" fontId="6" fillId="2" borderId="4" xfId="0" applyNumberFormat="1" applyFont="1" applyFill="1" applyBorder="1" applyAlignment="1">
      <alignment horizontal="center"/>
    </xf>
    <xf numFmtId="0" fontId="7" fillId="2" borderId="3" xfId="0" applyNumberFormat="1" applyFont="1" applyFill="1" applyBorder="1" applyAlignment="1">
      <alignment horizontal="center"/>
    </xf>
    <xf numFmtId="0" fontId="3" fillId="0" borderId="14" xfId="0" applyFont="1" applyFill="1" applyBorder="1" applyAlignment="1">
      <alignment horizontal="center"/>
    </xf>
    <xf numFmtId="0" fontId="3" fillId="0" borderId="16" xfId="0" applyFont="1" applyFill="1" applyBorder="1" applyAlignment="1">
      <alignment horizontal="center"/>
    </xf>
    <xf numFmtId="0" fontId="2" fillId="0" borderId="6" xfId="0" applyFont="1" applyBorder="1" applyAlignment="1">
      <alignment horizontal="center" vertical="top"/>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2" fillId="0" borderId="7" xfId="0" applyFont="1" applyBorder="1" applyAlignment="1">
      <alignment horizontal="center" vertical="top"/>
    </xf>
    <xf numFmtId="0" fontId="32" fillId="0" borderId="8" xfId="0" applyFont="1" applyBorder="1" applyAlignment="1">
      <alignment horizontal="center"/>
    </xf>
    <xf numFmtId="0" fontId="2" fillId="0" borderId="8" xfId="0" applyFont="1" applyBorder="1" applyAlignment="1">
      <alignment horizontal="center" vertical="top" wrapText="1"/>
    </xf>
    <xf numFmtId="1" fontId="2" fillId="0" borderId="5" xfId="0" applyNumberFormat="1" applyFont="1" applyFill="1" applyBorder="1" applyAlignment="1">
      <alignment horizontal="center"/>
    </xf>
    <xf numFmtId="0" fontId="2" fillId="0" borderId="5" xfId="0" applyFont="1" applyFill="1" applyBorder="1" applyAlignment="1">
      <alignment horizontal="right"/>
    </xf>
    <xf numFmtId="0" fontId="7" fillId="2" borderId="5" xfId="0" applyNumberFormat="1" applyFont="1" applyFill="1" applyBorder="1" applyAlignment="1">
      <alignment horizontal="center"/>
    </xf>
    <xf numFmtId="1" fontId="2" fillId="0" borderId="9" xfId="0" applyNumberFormat="1" applyFont="1" applyFill="1" applyBorder="1" applyAlignment="1">
      <alignment horizontal="center"/>
    </xf>
    <xf numFmtId="170" fontId="2" fillId="0" borderId="9" xfId="0" applyNumberFormat="1" applyFont="1" applyFill="1" applyBorder="1" applyAlignment="1">
      <alignment horizontal="center"/>
    </xf>
    <xf numFmtId="1" fontId="7" fillId="2" borderId="4" xfId="0" applyNumberFormat="1" applyFont="1" applyFill="1" applyBorder="1" applyAlignment="1">
      <alignment horizontal="center"/>
    </xf>
    <xf numFmtId="170" fontId="2" fillId="0" borderId="6" xfId="0" applyNumberFormat="1" applyFont="1" applyFill="1" applyBorder="1" applyAlignment="1">
      <alignment horizontal="center"/>
    </xf>
    <xf numFmtId="0" fontId="2" fillId="0" borderId="6" xfId="0" applyFont="1" applyFill="1" applyBorder="1" applyAlignment="1">
      <alignment horizontal="center"/>
    </xf>
    <xf numFmtId="1" fontId="2" fillId="0" borderId="6" xfId="0" applyNumberFormat="1" applyFont="1" applyFill="1" applyBorder="1" applyAlignment="1">
      <alignment horizontal="center"/>
    </xf>
    <xf numFmtId="170" fontId="2" fillId="0" borderId="7" xfId="0" applyNumberFormat="1" applyFont="1" applyFill="1" applyBorder="1" applyAlignment="1">
      <alignment horizontal="center"/>
    </xf>
    <xf numFmtId="0" fontId="2" fillId="0" borderId="7" xfId="0" applyFont="1" applyFill="1" applyBorder="1" applyAlignment="1">
      <alignment horizontal="center"/>
    </xf>
    <xf numFmtId="1" fontId="2" fillId="0" borderId="7" xfId="0" applyNumberFormat="1" applyFont="1" applyFill="1" applyBorder="1" applyAlignment="1">
      <alignment horizontal="center"/>
    </xf>
    <xf numFmtId="170" fontId="2" fillId="0" borderId="8" xfId="0" applyNumberFormat="1" applyFont="1" applyFill="1" applyBorder="1" applyAlignment="1">
      <alignment horizontal="center"/>
    </xf>
    <xf numFmtId="0" fontId="2" fillId="0" borderId="8" xfId="0" applyFont="1" applyFill="1" applyBorder="1" applyAlignment="1">
      <alignment horizontal="center"/>
    </xf>
    <xf numFmtId="1" fontId="2" fillId="0" borderId="8" xfId="0" applyNumberFormat="1" applyFont="1" applyFill="1" applyBorder="1" applyAlignment="1">
      <alignment horizontal="center"/>
    </xf>
    <xf numFmtId="0" fontId="7" fillId="2" borderId="4" xfId="0" applyNumberFormat="1" applyFont="1" applyFill="1" applyBorder="1" applyAlignment="1">
      <alignment horizontal="center"/>
    </xf>
    <xf numFmtId="0" fontId="2" fillId="0" borderId="15" xfId="0" applyFont="1" applyBorder="1"/>
    <xf numFmtId="0" fontId="7" fillId="2" borderId="8" xfId="0" applyNumberFormat="1" applyFont="1" applyFill="1" applyBorder="1" applyAlignment="1">
      <alignment horizontal="center"/>
    </xf>
    <xf numFmtId="0" fontId="2" fillId="2" borderId="4" xfId="0" applyFont="1" applyFill="1" applyBorder="1" applyAlignment="1">
      <alignment horizontal="center"/>
    </xf>
    <xf numFmtId="0" fontId="7" fillId="2" borderId="9" xfId="0" applyNumberFormat="1" applyFont="1" applyFill="1" applyBorder="1" applyAlignment="1">
      <alignment horizontal="center"/>
    </xf>
    <xf numFmtId="0" fontId="0" fillId="0" borderId="6" xfId="0" applyBorder="1" applyAlignment="1">
      <alignment horizontal="center" vertical="top"/>
    </xf>
    <xf numFmtId="0" fontId="2" fillId="2" borderId="3" xfId="0" applyFont="1" applyFill="1" applyBorder="1" applyAlignment="1">
      <alignment horizontal="center"/>
    </xf>
    <xf numFmtId="1" fontId="2" fillId="0" borderId="0" xfId="0" applyNumberFormat="1" applyFont="1" applyAlignment="1">
      <alignment horizontal="center"/>
    </xf>
    <xf numFmtId="0" fontId="2" fillId="0" borderId="5" xfId="0" applyNumberFormat="1" applyFont="1" applyBorder="1" applyAlignment="1">
      <alignment horizontal="center"/>
    </xf>
    <xf numFmtId="0" fontId="2" fillId="0" borderId="5" xfId="0" applyNumberFormat="1" applyFont="1" applyBorder="1" applyAlignment="1">
      <alignment horizontal="right"/>
    </xf>
    <xf numFmtId="0" fontId="20" fillId="0" borderId="5" xfId="0" applyNumberFormat="1" applyFont="1" applyBorder="1" applyAlignment="1">
      <alignment horizontal="right"/>
    </xf>
    <xf numFmtId="0" fontId="20" fillId="0" borderId="5" xfId="0" applyNumberFormat="1" applyFont="1" applyBorder="1" applyAlignment="1">
      <alignment horizontal="center"/>
    </xf>
    <xf numFmtId="0" fontId="2" fillId="2" borderId="4" xfId="0" applyNumberFormat="1" applyFont="1" applyFill="1" applyBorder="1" applyAlignment="1">
      <alignment horizontal="center"/>
    </xf>
    <xf numFmtId="0" fontId="2" fillId="0" borderId="4" xfId="0" applyFont="1" applyFill="1" applyBorder="1" applyAlignment="1">
      <alignment horizontal="right"/>
    </xf>
    <xf numFmtId="1" fontId="7" fillId="2" borderId="8" xfId="0" applyNumberFormat="1" applyFont="1" applyFill="1" applyBorder="1" applyAlignment="1">
      <alignment horizontal="center"/>
    </xf>
    <xf numFmtId="2" fontId="7" fillId="2" borderId="8" xfId="0" applyNumberFormat="1" applyFont="1" applyFill="1" applyBorder="1" applyAlignment="1">
      <alignment horizontal="center"/>
    </xf>
    <xf numFmtId="0" fontId="7" fillId="2" borderId="3" xfId="0" applyFont="1" applyFill="1" applyBorder="1" applyAlignment="1">
      <alignment horizontal="center"/>
    </xf>
    <xf numFmtId="0" fontId="2" fillId="0" borderId="5" xfId="0" applyNumberFormat="1" applyFont="1" applyFill="1" applyBorder="1" applyAlignment="1">
      <alignment horizontal="center"/>
    </xf>
    <xf numFmtId="0" fontId="2" fillId="2" borderId="9" xfId="0" applyFont="1" applyFill="1" applyBorder="1" applyAlignment="1">
      <alignment horizontal="center"/>
    </xf>
    <xf numFmtId="0" fontId="7" fillId="0" borderId="9" xfId="0" applyNumberFormat="1" applyFont="1" applyFill="1" applyBorder="1" applyAlignment="1">
      <alignment horizontal="center"/>
    </xf>
    <xf numFmtId="0" fontId="2" fillId="0" borderId="9" xfId="0" applyNumberFormat="1" applyFont="1" applyFill="1" applyBorder="1" applyAlignment="1">
      <alignment horizontal="center"/>
    </xf>
    <xf numFmtId="0" fontId="2" fillId="0" borderId="3" xfId="0" applyFont="1" applyFill="1" applyBorder="1" applyAlignment="1">
      <alignment horizontal="left" indent="1"/>
    </xf>
    <xf numFmtId="1" fontId="7" fillId="3" borderId="8" xfId="0" applyNumberFormat="1" applyFont="1" applyFill="1" applyBorder="1" applyAlignment="1">
      <alignment horizontal="center"/>
    </xf>
    <xf numFmtId="1" fontId="7" fillId="3" borderId="5" xfId="0" applyNumberFormat="1" applyFont="1" applyFill="1" applyBorder="1" applyAlignment="1">
      <alignment horizontal="center"/>
    </xf>
    <xf numFmtId="2" fontId="7" fillId="3" borderId="5" xfId="0" applyNumberFormat="1" applyFont="1" applyFill="1" applyBorder="1" applyAlignment="1">
      <alignment horizontal="center"/>
    </xf>
    <xf numFmtId="0" fontId="2" fillId="0" borderId="8" xfId="0" applyFont="1" applyBorder="1" applyAlignment="1">
      <alignment horizontal="center" vertical="top"/>
    </xf>
    <xf numFmtId="0" fontId="2" fillId="0" borderId="6" xfId="0" applyFont="1" applyFill="1" applyBorder="1" applyAlignment="1">
      <alignment horizontal="center" vertical="top" wrapText="1"/>
    </xf>
    <xf numFmtId="0" fontId="2" fillId="0" borderId="6" xfId="0" applyFont="1" applyFill="1" applyBorder="1" applyAlignment="1">
      <alignment horizontal="center" vertical="top"/>
    </xf>
    <xf numFmtId="0" fontId="2" fillId="0" borderId="7" xfId="0" applyFont="1" applyFill="1" applyBorder="1" applyAlignment="1">
      <alignment horizontal="center" vertical="top" wrapText="1"/>
    </xf>
    <xf numFmtId="0" fontId="2" fillId="0" borderId="7" xfId="0" applyFont="1" applyFill="1" applyBorder="1" applyAlignment="1">
      <alignment horizontal="center" vertical="top"/>
    </xf>
    <xf numFmtId="0" fontId="2" fillId="0" borderId="8" xfId="0" applyNumberFormat="1" applyFont="1" applyFill="1" applyBorder="1" applyAlignment="1">
      <alignment horizontal="center"/>
    </xf>
    <xf numFmtId="2" fontId="2" fillId="0" borderId="8" xfId="0" applyNumberFormat="1" applyFont="1" applyFill="1" applyBorder="1" applyAlignment="1">
      <alignment horizontal="center"/>
    </xf>
    <xf numFmtId="0" fontId="2" fillId="0" borderId="3" xfId="0" applyFont="1" applyFill="1" applyBorder="1" applyAlignment="1">
      <alignment horizontal="left"/>
    </xf>
    <xf numFmtId="0" fontId="23" fillId="0" borderId="9" xfId="0" applyFont="1" applyFill="1" applyBorder="1" applyAlignment="1">
      <alignment horizontal="left"/>
    </xf>
    <xf numFmtId="0" fontId="7" fillId="0" borderId="0" xfId="0" applyFont="1" applyAlignment="1">
      <alignment horizontal="left"/>
    </xf>
    <xf numFmtId="0" fontId="3" fillId="0" borderId="15" xfId="0" applyFont="1" applyFill="1" applyBorder="1" applyAlignment="1">
      <alignment horizontal="center"/>
    </xf>
    <xf numFmtId="170" fontId="7" fillId="0" borderId="5" xfId="0" applyNumberFormat="1" applyFont="1" applyFill="1" applyBorder="1" applyAlignment="1">
      <alignment horizontal="center"/>
    </xf>
    <xf numFmtId="3" fontId="7" fillId="2" borderId="5" xfId="0" applyNumberFormat="1" applyFont="1" applyFill="1" applyBorder="1" applyAlignment="1">
      <alignment horizontal="center"/>
    </xf>
    <xf numFmtId="170" fontId="7" fillId="0" borderId="6" xfId="0" applyNumberFormat="1" applyFont="1" applyFill="1" applyBorder="1" applyAlignment="1">
      <alignment horizontal="center"/>
    </xf>
    <xf numFmtId="0" fontId="5" fillId="3" borderId="6" xfId="0" applyFont="1" applyFill="1" applyBorder="1" applyAlignment="1">
      <alignment horizontal="center"/>
    </xf>
    <xf numFmtId="0" fontId="5" fillId="3" borderId="7" xfId="0" applyFont="1" applyFill="1" applyBorder="1" applyAlignment="1">
      <alignment horizontal="center"/>
    </xf>
    <xf numFmtId="0" fontId="5" fillId="0" borderId="5" xfId="0" applyNumberFormat="1" applyFont="1" applyFill="1" applyBorder="1" applyAlignment="1">
      <alignment horizontal="center"/>
    </xf>
    <xf numFmtId="0" fontId="5" fillId="0" borderId="6" xfId="0" applyNumberFormat="1" applyFont="1" applyFill="1" applyBorder="1" applyAlignment="1">
      <alignment horizontal="center"/>
    </xf>
    <xf numFmtId="0" fontId="5" fillId="0" borderId="7" xfId="0" applyNumberFormat="1" applyFont="1" applyFill="1" applyBorder="1" applyAlignment="1">
      <alignment horizontal="center"/>
    </xf>
    <xf numFmtId="1" fontId="5" fillId="0" borderId="7" xfId="0" applyNumberFormat="1" applyFont="1" applyFill="1" applyBorder="1" applyAlignment="1">
      <alignment horizontal="center"/>
    </xf>
    <xf numFmtId="0" fontId="5" fillId="0" borderId="8" xfId="0" applyNumberFormat="1" applyFont="1" applyFill="1" applyBorder="1" applyAlignment="1">
      <alignment horizontal="center"/>
    </xf>
    <xf numFmtId="2" fontId="5" fillId="0" borderId="3" xfId="0" applyNumberFormat="1" applyFont="1" applyFill="1" applyBorder="1" applyAlignment="1">
      <alignment horizontal="center"/>
    </xf>
    <xf numFmtId="0" fontId="5" fillId="0" borderId="6" xfId="0" applyFont="1" applyFill="1" applyBorder="1" applyAlignment="1">
      <alignment horizontal="left" vertical="top" wrapText="1"/>
    </xf>
    <xf numFmtId="0" fontId="5" fillId="0" borderId="6" xfId="0" applyFont="1" applyFill="1" applyBorder="1" applyAlignment="1">
      <alignment horizontal="center" vertical="top" wrapText="1"/>
    </xf>
    <xf numFmtId="0" fontId="5" fillId="0" borderId="7" xfId="0" applyFont="1" applyFill="1" applyBorder="1" applyAlignment="1">
      <alignment horizontal="left" vertical="top" wrapText="1"/>
    </xf>
    <xf numFmtId="0" fontId="5" fillId="0" borderId="7" xfId="0" applyFont="1" applyFill="1" applyBorder="1" applyAlignment="1">
      <alignment horizontal="center" vertical="top" wrapText="1"/>
    </xf>
    <xf numFmtId="0" fontId="5" fillId="0" borderId="8" xfId="0" applyFont="1" applyFill="1" applyBorder="1" applyAlignment="1">
      <alignment horizontal="left" vertical="top" wrapText="1"/>
    </xf>
    <xf numFmtId="0" fontId="5" fillId="0" borderId="8" xfId="0" applyFont="1" applyFill="1" applyBorder="1" applyAlignment="1">
      <alignment horizontal="center" vertical="top" wrapText="1"/>
    </xf>
    <xf numFmtId="0" fontId="5" fillId="0" borderId="5" xfId="0" applyFont="1" applyFill="1" applyBorder="1" applyAlignment="1">
      <alignment horizontal="left" vertical="top" wrapText="1"/>
    </xf>
    <xf numFmtId="0" fontId="19" fillId="0" borderId="4" xfId="0" applyFont="1" applyBorder="1" applyAlignment="1"/>
    <xf numFmtId="0" fontId="2" fillId="0" borderId="4" xfId="0" applyFont="1" applyBorder="1" applyAlignment="1">
      <alignment horizontal="left"/>
    </xf>
    <xf numFmtId="0" fontId="0" fillId="0" borderId="17" xfId="0" applyBorder="1" applyAlignment="1">
      <alignment horizontal="right"/>
    </xf>
    <xf numFmtId="3" fontId="20" fillId="0" borderId="0" xfId="0" applyNumberFormat="1" applyFont="1" applyAlignment="1">
      <alignment horizontal="left"/>
    </xf>
    <xf numFmtId="0" fontId="20" fillId="0" borderId="0" xfId="0" applyFont="1" applyBorder="1" applyAlignment="1">
      <alignment horizontal="right"/>
    </xf>
    <xf numFmtId="0" fontId="36" fillId="5" borderId="1" xfId="0" applyFont="1" applyFill="1" applyBorder="1" applyAlignment="1">
      <alignment horizontal="right"/>
    </xf>
    <xf numFmtId="3" fontId="36" fillId="5" borderId="1" xfId="0" quotePrefix="1" applyNumberFormat="1" applyFont="1" applyFill="1" applyBorder="1" applyAlignment="1">
      <alignment horizontal="left"/>
    </xf>
    <xf numFmtId="3" fontId="36" fillId="5" borderId="1" xfId="0" applyNumberFormat="1" applyFont="1" applyFill="1" applyBorder="1" applyAlignment="1">
      <alignment horizontal="left"/>
    </xf>
    <xf numFmtId="1" fontId="2" fillId="0" borderId="5" xfId="0" applyNumberFormat="1" applyFont="1" applyFill="1" applyBorder="1" applyAlignment="1">
      <alignment horizontal="center" vertical="top"/>
    </xf>
    <xf numFmtId="2" fontId="2" fillId="0" borderId="5" xfId="0" applyNumberFormat="1" applyFont="1" applyFill="1" applyBorder="1" applyAlignment="1">
      <alignment horizontal="center" vertical="top"/>
    </xf>
    <xf numFmtId="1" fontId="7" fillId="2" borderId="5" xfId="0" applyNumberFormat="1" applyFont="1" applyFill="1" applyBorder="1" applyAlignment="1">
      <alignment horizontal="left"/>
    </xf>
    <xf numFmtId="3" fontId="5" fillId="0" borderId="5" xfId="0" applyNumberFormat="1" applyFont="1" applyFill="1" applyBorder="1" applyAlignment="1">
      <alignment horizontal="center"/>
    </xf>
    <xf numFmtId="3" fontId="5" fillId="0" borderId="5" xfId="0" applyNumberFormat="1" applyFont="1" applyBorder="1" applyAlignment="1">
      <alignment horizontal="center"/>
    </xf>
    <xf numFmtId="3" fontId="6" fillId="2" borderId="5" xfId="0" applyNumberFormat="1" applyFont="1" applyFill="1" applyBorder="1" applyAlignment="1">
      <alignment horizontal="center" vertical="top" wrapText="1"/>
    </xf>
    <xf numFmtId="3" fontId="6" fillId="2" borderId="5" xfId="0" applyNumberFormat="1" applyFont="1" applyFill="1" applyBorder="1" applyAlignment="1">
      <alignment horizontal="center"/>
    </xf>
    <xf numFmtId="0" fontId="5" fillId="0" borderId="0" xfId="0" applyFont="1" applyBorder="1" applyProtection="1"/>
    <xf numFmtId="0" fontId="5" fillId="3" borderId="10" xfId="0" applyFont="1" applyFill="1" applyBorder="1" applyAlignment="1" applyProtection="1">
      <alignment horizontal="center"/>
    </xf>
    <xf numFmtId="0" fontId="5" fillId="0" borderId="10" xfId="0" applyFont="1" applyFill="1" applyBorder="1" applyAlignment="1" applyProtection="1">
      <alignment horizontal="center"/>
    </xf>
    <xf numFmtId="0" fontId="5" fillId="0" borderId="6" xfId="0" applyFont="1" applyFill="1" applyBorder="1" applyAlignment="1" applyProtection="1">
      <alignment horizontal="center"/>
    </xf>
    <xf numFmtId="0" fontId="5" fillId="3" borderId="12" xfId="0" applyFont="1" applyFill="1" applyBorder="1" applyAlignment="1" applyProtection="1">
      <alignment horizontal="center"/>
    </xf>
    <xf numFmtId="0" fontId="5" fillId="3" borderId="7" xfId="0" applyFont="1" applyFill="1" applyBorder="1" applyAlignment="1" applyProtection="1">
      <alignment horizontal="center"/>
    </xf>
    <xf numFmtId="0" fontId="5" fillId="0" borderId="12" xfId="0" applyFont="1" applyFill="1" applyBorder="1" applyAlignment="1" applyProtection="1">
      <alignment horizontal="center"/>
    </xf>
    <xf numFmtId="0" fontId="5" fillId="0" borderId="7" xfId="0" applyFont="1" applyFill="1" applyBorder="1" applyAlignment="1" applyProtection="1">
      <alignment horizontal="center"/>
    </xf>
    <xf numFmtId="0" fontId="5" fillId="3" borderId="8" xfId="0" applyFont="1" applyFill="1" applyBorder="1" applyAlignment="1" applyProtection="1">
      <alignment horizontal="left"/>
    </xf>
    <xf numFmtId="0" fontId="5" fillId="3" borderId="8" xfId="0" applyFont="1" applyFill="1" applyBorder="1" applyAlignment="1" applyProtection="1">
      <alignment horizontal="center"/>
    </xf>
    <xf numFmtId="1" fontId="6" fillId="2" borderId="10" xfId="0" applyNumberFormat="1" applyFont="1" applyFill="1" applyBorder="1" applyAlignment="1" applyProtection="1">
      <alignment horizontal="center"/>
      <protection locked="0"/>
    </xf>
    <xf numFmtId="1" fontId="5" fillId="0" borderId="10" xfId="0" applyNumberFormat="1" applyFont="1" applyFill="1" applyBorder="1" applyAlignment="1" applyProtection="1">
      <alignment horizontal="center"/>
    </xf>
    <xf numFmtId="1" fontId="5" fillId="0" borderId="6" xfId="0" applyNumberFormat="1" applyFont="1" applyFill="1" applyBorder="1" applyAlignment="1" applyProtection="1">
      <alignment horizontal="center"/>
    </xf>
    <xf numFmtId="0" fontId="5" fillId="3" borderId="9" xfId="0" applyFont="1" applyFill="1" applyBorder="1" applyProtection="1"/>
    <xf numFmtId="1" fontId="5" fillId="0" borderId="12" xfId="0" applyNumberFormat="1" applyFont="1" applyFill="1" applyBorder="1" applyAlignment="1" applyProtection="1">
      <alignment horizontal="center"/>
    </xf>
    <xf numFmtId="1" fontId="5" fillId="0" borderId="7" xfId="0" applyNumberFormat="1" applyFont="1" applyFill="1" applyBorder="1" applyAlignment="1" applyProtection="1">
      <alignment horizontal="center"/>
    </xf>
    <xf numFmtId="1" fontId="6" fillId="2" borderId="3" xfId="0" applyNumberFormat="1" applyFont="1" applyFill="1" applyBorder="1" applyAlignment="1" applyProtection="1">
      <alignment horizontal="center"/>
      <protection locked="0"/>
    </xf>
    <xf numFmtId="0" fontId="5" fillId="0" borderId="3" xfId="0" applyFont="1" applyFill="1" applyBorder="1" applyAlignment="1" applyProtection="1">
      <alignment horizontal="center"/>
    </xf>
    <xf numFmtId="0" fontId="5" fillId="0" borderId="5" xfId="0" applyFont="1" applyBorder="1" applyAlignment="1" applyProtection="1">
      <alignment horizontal="center"/>
    </xf>
    <xf numFmtId="0" fontId="5" fillId="0" borderId="0" xfId="0" applyFont="1" applyFill="1" applyBorder="1" applyProtection="1"/>
    <xf numFmtId="0" fontId="5" fillId="0" borderId="0" xfId="0" applyFont="1" applyFill="1" applyAlignment="1">
      <alignment horizontal="center"/>
    </xf>
    <xf numFmtId="0" fontId="5" fillId="0" borderId="3" xfId="0" applyFont="1" applyBorder="1" applyAlignment="1">
      <alignment horizontal="right"/>
    </xf>
    <xf numFmtId="0" fontId="0" fillId="0" borderId="9" xfId="0" applyBorder="1" applyAlignment="1">
      <alignment horizontal="right"/>
    </xf>
    <xf numFmtId="0" fontId="0" fillId="0" borderId="8" xfId="0" applyBorder="1" applyAlignment="1">
      <alignment horizontal="center"/>
    </xf>
    <xf numFmtId="0" fontId="19" fillId="0" borderId="12" xfId="0" applyFont="1" applyBorder="1" applyAlignment="1">
      <alignment horizontal="left" vertical="top"/>
    </xf>
    <xf numFmtId="0" fontId="5" fillId="0" borderId="10" xfId="0" applyFont="1" applyBorder="1" applyAlignment="1">
      <alignment horizontal="left" vertical="top"/>
    </xf>
    <xf numFmtId="0" fontId="5" fillId="0" borderId="3" xfId="0" applyFont="1" applyBorder="1" applyAlignment="1">
      <alignment horizontal="left" indent="1"/>
    </xf>
    <xf numFmtId="49" fontId="2" fillId="0" borderId="5" xfId="0" applyNumberFormat="1" applyFont="1" applyBorder="1" applyAlignment="1">
      <alignment horizontal="center"/>
    </xf>
    <xf numFmtId="0" fontId="5" fillId="0" borderId="12" xfId="0" applyFont="1" applyFill="1" applyBorder="1" applyAlignment="1">
      <alignment horizont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6" xfId="0" applyFont="1" applyFill="1" applyBorder="1" applyAlignment="1">
      <alignment horizontal="right"/>
    </xf>
    <xf numFmtId="164" fontId="5" fillId="0" borderId="17" xfId="7" applyFont="1" applyBorder="1" applyAlignment="1">
      <alignment horizontal="right"/>
    </xf>
    <xf numFmtId="164" fontId="5" fillId="0" borderId="16" xfId="7" applyFont="1" applyFill="1" applyBorder="1" applyAlignment="1">
      <alignment horizontal="right"/>
    </xf>
    <xf numFmtId="164" fontId="5" fillId="0" borderId="16" xfId="7" applyFont="1" applyBorder="1" applyAlignment="1">
      <alignment horizontal="right"/>
    </xf>
    <xf numFmtId="0" fontId="6" fillId="0" borderId="9" xfId="7" applyNumberFormat="1" applyFont="1" applyFill="1" applyBorder="1" applyAlignment="1">
      <alignment horizontal="left"/>
    </xf>
    <xf numFmtId="164" fontId="5" fillId="0" borderId="9" xfId="7" applyFont="1" applyFill="1" applyBorder="1" applyAlignment="1">
      <alignment horizontal="right"/>
    </xf>
    <xf numFmtId="164" fontId="5" fillId="0" borderId="0" xfId="7" applyFont="1" applyBorder="1" applyAlignment="1">
      <alignment horizontal="left"/>
    </xf>
    <xf numFmtId="164" fontId="5" fillId="0" borderId="12" xfId="7" applyFont="1" applyFill="1" applyBorder="1" applyAlignment="1">
      <alignment horizontal="left" indent="1"/>
    </xf>
    <xf numFmtId="164" fontId="5" fillId="0" borderId="0" xfId="7" applyFont="1" applyBorder="1" applyAlignment="1">
      <alignment horizontal="left" indent="1"/>
    </xf>
    <xf numFmtId="3" fontId="5" fillId="0" borderId="0" xfId="7" applyNumberFormat="1" applyFont="1" applyFill="1" applyBorder="1" applyAlignment="1">
      <alignment horizontal="left" indent="1"/>
    </xf>
    <xf numFmtId="0" fontId="5" fillId="0" borderId="0" xfId="7" applyNumberFormat="1" applyFont="1" applyFill="1" applyBorder="1" applyAlignment="1">
      <alignment horizontal="left" indent="1"/>
    </xf>
    <xf numFmtId="164" fontId="5" fillId="0" borderId="0" xfId="7" applyFont="1" applyFill="1" applyBorder="1" applyAlignment="1">
      <alignment horizontal="left" indent="1"/>
    </xf>
    <xf numFmtId="164" fontId="5" fillId="0" borderId="16" xfId="7" applyFont="1" applyBorder="1" applyAlignment="1">
      <alignment horizontal="left" indent="1"/>
    </xf>
    <xf numFmtId="2" fontId="6" fillId="2" borderId="5" xfId="7" applyNumberFormat="1" applyFont="1" applyFill="1" applyBorder="1" applyAlignment="1">
      <alignment horizontal="center"/>
    </xf>
    <xf numFmtId="164" fontId="5" fillId="0" borderId="18" xfId="7" applyFont="1" applyBorder="1" applyAlignment="1">
      <alignment horizontal="center"/>
    </xf>
    <xf numFmtId="1" fontId="6" fillId="2" borderId="5" xfId="7" applyNumberFormat="1" applyFont="1" applyFill="1" applyBorder="1" applyAlignment="1">
      <alignment horizontal="center"/>
    </xf>
    <xf numFmtId="171" fontId="5" fillId="0" borderId="5" xfId="7" applyNumberFormat="1" applyFont="1" applyFill="1" applyBorder="1" applyAlignment="1">
      <alignment horizontal="center"/>
    </xf>
    <xf numFmtId="164" fontId="5" fillId="0" borderId="12" xfId="7" applyFont="1" applyBorder="1" applyAlignment="1">
      <alignment horizontal="left"/>
    </xf>
    <xf numFmtId="3" fontId="5" fillId="0" borderId="5" xfId="7" applyNumberFormat="1" applyFont="1" applyFill="1" applyBorder="1" applyAlignment="1">
      <alignment horizontal="center"/>
    </xf>
    <xf numFmtId="164" fontId="5" fillId="0" borderId="10" xfId="7" applyFont="1" applyFill="1" applyBorder="1"/>
    <xf numFmtId="1" fontId="6" fillId="0" borderId="4" xfId="7" applyNumberFormat="1" applyFont="1" applyFill="1" applyBorder="1" applyAlignment="1">
      <alignment horizontal="center"/>
    </xf>
    <xf numFmtId="0" fontId="6" fillId="0" borderId="17" xfId="7" applyNumberFormat="1" applyFont="1" applyFill="1" applyBorder="1" applyAlignment="1"/>
    <xf numFmtId="171" fontId="5" fillId="0" borderId="0" xfId="7" applyNumberFormat="1" applyFont="1" applyBorder="1" applyAlignment="1"/>
    <xf numFmtId="171" fontId="5" fillId="0" borderId="19" xfId="7" applyNumberFormat="1" applyFont="1" applyBorder="1" applyAlignment="1"/>
    <xf numFmtId="164" fontId="5" fillId="0" borderId="0" xfId="7" applyFont="1" applyBorder="1" applyAlignment="1"/>
    <xf numFmtId="164" fontId="5" fillId="0" borderId="16" xfId="7" applyFont="1" applyBorder="1" applyAlignment="1">
      <alignment horizontal="center"/>
    </xf>
    <xf numFmtId="164" fontId="5" fillId="0" borderId="17" xfId="7" applyFont="1" applyBorder="1" applyAlignment="1">
      <alignment horizontal="center"/>
    </xf>
    <xf numFmtId="0" fontId="6" fillId="2" borderId="6" xfId="7" applyNumberFormat="1" applyFont="1" applyFill="1" applyBorder="1" applyAlignment="1">
      <alignment horizontal="center"/>
    </xf>
    <xf numFmtId="0" fontId="31" fillId="0" borderId="5" xfId="0" applyFont="1" applyBorder="1" applyAlignment="1" applyProtection="1">
      <alignment horizontal="center"/>
    </xf>
    <xf numFmtId="0" fontId="31" fillId="0" borderId="5" xfId="0" applyFont="1" applyFill="1" applyBorder="1" applyAlignment="1" applyProtection="1">
      <alignment horizontal="center"/>
    </xf>
    <xf numFmtId="3" fontId="31" fillId="0" borderId="5" xfId="0" applyNumberFormat="1" applyFont="1" applyBorder="1" applyAlignment="1" applyProtection="1">
      <alignment horizontal="center"/>
    </xf>
    <xf numFmtId="0" fontId="6" fillId="2" borderId="6" xfId="0" applyFont="1" applyFill="1" applyBorder="1" applyAlignment="1" applyProtection="1">
      <alignment horizontal="center"/>
      <protection locked="0"/>
    </xf>
    <xf numFmtId="2" fontId="5" fillId="4" borderId="5" xfId="0" applyNumberFormat="1" applyFont="1" applyFill="1" applyBorder="1" applyAlignment="1" applyProtection="1">
      <alignment horizontal="center"/>
    </xf>
    <xf numFmtId="1" fontId="6" fillId="2" borderId="5" xfId="0" applyNumberFormat="1" applyFont="1" applyFill="1" applyBorder="1" applyAlignment="1" applyProtection="1">
      <alignment horizontal="center"/>
      <protection locked="0"/>
    </xf>
    <xf numFmtId="0" fontId="5" fillId="0" borderId="10" xfId="7" applyNumberFormat="1" applyFont="1" applyFill="1" applyBorder="1" applyAlignment="1">
      <alignment horizontal="center"/>
    </xf>
    <xf numFmtId="1" fontId="5" fillId="0" borderId="17" xfId="0" applyNumberFormat="1" applyFont="1" applyFill="1" applyBorder="1" applyAlignment="1" applyProtection="1">
      <alignment horizontal="center"/>
      <protection locked="0"/>
    </xf>
    <xf numFmtId="170" fontId="5" fillId="0" borderId="17" xfId="7" applyNumberFormat="1" applyFont="1" applyFill="1" applyBorder="1" applyAlignment="1">
      <alignment horizontal="center"/>
    </xf>
    <xf numFmtId="170" fontId="5" fillId="0" borderId="11" xfId="7" applyNumberFormat="1" applyFont="1" applyFill="1" applyBorder="1" applyAlignment="1">
      <alignment horizontal="center"/>
    </xf>
    <xf numFmtId="3" fontId="6" fillId="2" borderId="5" xfId="0" applyNumberFormat="1" applyFont="1" applyFill="1" applyBorder="1" applyAlignment="1" applyProtection="1">
      <alignment horizontal="center"/>
      <protection locked="0"/>
    </xf>
    <xf numFmtId="3" fontId="6" fillId="2" borderId="5" xfId="7" applyNumberFormat="1" applyFont="1" applyFill="1" applyBorder="1" applyAlignment="1">
      <alignment horizontal="center"/>
    </xf>
    <xf numFmtId="0" fontId="5" fillId="0" borderId="12" xfId="7" applyNumberFormat="1" applyFont="1" applyFill="1" applyBorder="1" applyAlignment="1">
      <alignment horizontal="center"/>
    </xf>
    <xf numFmtId="1" fontId="5" fillId="0" borderId="0" xfId="0" applyNumberFormat="1" applyFont="1" applyFill="1" applyBorder="1" applyAlignment="1" applyProtection="1">
      <alignment horizontal="center"/>
      <protection locked="0"/>
    </xf>
    <xf numFmtId="1" fontId="31" fillId="0" borderId="0" xfId="0" applyNumberFormat="1" applyFont="1" applyFill="1" applyBorder="1" applyAlignment="1" applyProtection="1">
      <alignment horizontal="left" indent="2"/>
    </xf>
    <xf numFmtId="2" fontId="5" fillId="0" borderId="0" xfId="0" applyNumberFormat="1" applyFont="1" applyFill="1" applyBorder="1" applyAlignment="1" applyProtection="1">
      <alignment horizontal="center"/>
    </xf>
    <xf numFmtId="170" fontId="5" fillId="0" borderId="0" xfId="7" applyNumberFormat="1" applyFont="1" applyFill="1" applyBorder="1" applyAlignment="1">
      <alignment horizontal="center"/>
    </xf>
    <xf numFmtId="1" fontId="5" fillId="0" borderId="0" xfId="7" applyNumberFormat="1" applyFont="1" applyFill="1" applyBorder="1" applyAlignment="1">
      <alignment horizontal="center"/>
    </xf>
    <xf numFmtId="170" fontId="5" fillId="0" borderId="13" xfId="7" applyNumberFormat="1" applyFont="1" applyFill="1" applyBorder="1" applyAlignment="1">
      <alignment horizontal="center"/>
    </xf>
    <xf numFmtId="2" fontId="5" fillId="0" borderId="5" xfId="7" applyNumberFormat="1" applyFont="1" applyFill="1" applyBorder="1" applyAlignment="1">
      <alignment horizontal="center"/>
    </xf>
    <xf numFmtId="164" fontId="24" fillId="0" borderId="16" xfId="7" applyFont="1" applyFill="1" applyBorder="1" applyAlignment="1">
      <alignment horizontal="left" indent="1"/>
    </xf>
    <xf numFmtId="0" fontId="0" fillId="0" borderId="17" xfId="0" applyBorder="1" applyAlignment="1">
      <alignment horizontal="left"/>
    </xf>
    <xf numFmtId="1" fontId="5" fillId="0" borderId="5" xfId="7" applyNumberFormat="1" applyFont="1" applyFill="1" applyBorder="1" applyAlignment="1">
      <alignment horizontal="center"/>
    </xf>
    <xf numFmtId="164" fontId="31" fillId="0" borderId="0" xfId="7" applyFont="1"/>
    <xf numFmtId="1" fontId="31" fillId="0" borderId="5" xfId="7" applyNumberFormat="1" applyFont="1" applyFill="1" applyBorder="1" applyAlignment="1">
      <alignment horizontal="center"/>
    </xf>
    <xf numFmtId="164" fontId="31" fillId="0" borderId="5" xfId="7" applyFont="1" applyBorder="1" applyAlignment="1">
      <alignment horizontal="center"/>
    </xf>
    <xf numFmtId="164" fontId="31" fillId="0" borderId="5" xfId="7" applyFont="1" applyFill="1" applyBorder="1" applyAlignment="1">
      <alignment horizontal="center"/>
    </xf>
    <xf numFmtId="164" fontId="31" fillId="0" borderId="12" xfId="7" applyFont="1" applyBorder="1"/>
    <xf numFmtId="164" fontId="5" fillId="0" borderId="6" xfId="7" applyFont="1" applyBorder="1"/>
    <xf numFmtId="164" fontId="5" fillId="0" borderId="8" xfId="7" applyFont="1" applyBorder="1"/>
    <xf numFmtId="164" fontId="5" fillId="0" borderId="5" xfId="7" applyFont="1" applyBorder="1"/>
    <xf numFmtId="164" fontId="5" fillId="0" borderId="5" xfId="7" applyFont="1" applyBorder="1" applyAlignment="1">
      <alignment horizontal="center"/>
    </xf>
    <xf numFmtId="164" fontId="31" fillId="0" borderId="6" xfId="7" applyFont="1" applyBorder="1" applyAlignment="1">
      <alignment horizontal="center"/>
    </xf>
    <xf numFmtId="170" fontId="31" fillId="0" borderId="13" xfId="7" applyNumberFormat="1" applyFont="1" applyFill="1" applyBorder="1" applyAlignment="1">
      <alignment horizontal="center"/>
    </xf>
    <xf numFmtId="164" fontId="31" fillId="0" borderId="8" xfId="7" applyFont="1" applyBorder="1"/>
    <xf numFmtId="164" fontId="5" fillId="0" borderId="17" xfId="7" applyFont="1" applyFill="1" applyBorder="1" applyAlignment="1">
      <alignment horizontal="center"/>
    </xf>
    <xf numFmtId="0" fontId="6" fillId="0" borderId="17" xfId="7" applyNumberFormat="1" applyFont="1" applyFill="1" applyBorder="1" applyAlignment="1">
      <alignment horizontal="center"/>
    </xf>
    <xf numFmtId="164" fontId="5" fillId="0" borderId="7" xfId="7" applyFont="1" applyBorder="1"/>
    <xf numFmtId="164" fontId="5" fillId="0" borderId="17" xfId="7" applyFont="1" applyFill="1" applyBorder="1" applyAlignment="1">
      <alignment horizontal="left" indent="1"/>
    </xf>
    <xf numFmtId="164" fontId="5" fillId="0" borderId="11" xfId="7" applyFont="1" applyBorder="1" applyAlignment="1">
      <alignment horizontal="left" indent="1"/>
    </xf>
    <xf numFmtId="164" fontId="5" fillId="0" borderId="15" xfId="7" applyFont="1" applyBorder="1" applyAlignment="1">
      <alignment horizontal="left" indent="1"/>
    </xf>
    <xf numFmtId="164" fontId="5" fillId="0" borderId="6" xfId="7" applyFont="1" applyBorder="1" applyAlignment="1">
      <alignment horizontal="left" indent="1"/>
    </xf>
    <xf numFmtId="164" fontId="5" fillId="0" borderId="7" xfId="7" applyFont="1" applyBorder="1" applyAlignment="1">
      <alignment horizontal="left" indent="1"/>
    </xf>
    <xf numFmtId="164" fontId="5" fillId="0" borderId="8" xfId="7" applyFont="1" applyBorder="1" applyAlignment="1">
      <alignment horizontal="left" indent="1"/>
    </xf>
    <xf numFmtId="0" fontId="6" fillId="0" borderId="11" xfId="7" applyNumberFormat="1" applyFont="1" applyFill="1" applyBorder="1" applyAlignment="1">
      <alignment horizontal="center"/>
    </xf>
    <xf numFmtId="164" fontId="5" fillId="0" borderId="5" xfId="7" applyFont="1" applyBorder="1" applyAlignment="1">
      <alignment horizontal="left" indent="1"/>
    </xf>
    <xf numFmtId="164" fontId="5" fillId="0" borderId="17" xfId="7" applyFont="1" applyBorder="1" applyAlignment="1">
      <alignment horizontal="left" indent="1"/>
    </xf>
    <xf numFmtId="164" fontId="31" fillId="0" borderId="10" xfId="7" applyFont="1" applyBorder="1" applyAlignment="1"/>
    <xf numFmtId="164" fontId="31" fillId="0" borderId="12" xfId="7" applyFont="1" applyBorder="1" applyAlignment="1"/>
    <xf numFmtId="164" fontId="31" fillId="0" borderId="14" xfId="7" applyFont="1" applyBorder="1" applyAlignment="1"/>
    <xf numFmtId="170" fontId="5" fillId="0" borderId="5" xfId="7" applyNumberFormat="1" applyFont="1" applyBorder="1" applyAlignment="1">
      <alignment horizontal="center"/>
    </xf>
    <xf numFmtId="170" fontId="5" fillId="0" borderId="0" xfId="7" applyNumberFormat="1" applyFont="1" applyBorder="1" applyAlignment="1">
      <alignment horizontal="center"/>
    </xf>
    <xf numFmtId="170" fontId="5" fillId="0" borderId="13" xfId="7" applyNumberFormat="1" applyFont="1" applyBorder="1" applyAlignment="1">
      <alignment horizontal="center"/>
    </xf>
    <xf numFmtId="170" fontId="5" fillId="0" borderId="17" xfId="7" applyNumberFormat="1" applyFont="1" applyBorder="1" applyAlignment="1">
      <alignment horizontal="center"/>
    </xf>
    <xf numFmtId="170" fontId="5" fillId="0" borderId="11" xfId="7" applyNumberFormat="1" applyFont="1" applyBorder="1" applyAlignment="1">
      <alignment horizontal="center"/>
    </xf>
    <xf numFmtId="164" fontId="5" fillId="0" borderId="9" xfId="7" applyFont="1" applyBorder="1" applyAlignment="1">
      <alignment horizontal="left" indent="1"/>
    </xf>
    <xf numFmtId="170" fontId="5" fillId="0" borderId="0" xfId="7" applyNumberFormat="1" applyFont="1" applyBorder="1" applyAlignment="1">
      <alignment horizontal="left"/>
    </xf>
    <xf numFmtId="1" fontId="6" fillId="2" borderId="5" xfId="7" applyNumberFormat="1" applyFont="1" applyFill="1" applyBorder="1" applyAlignment="1" applyProtection="1">
      <alignment horizontal="center"/>
      <protection locked="0"/>
    </xf>
    <xf numFmtId="4" fontId="5" fillId="0" borderId="3" xfId="7" applyNumberFormat="1" applyFont="1" applyFill="1" applyBorder="1" applyAlignment="1" applyProtection="1">
      <alignment horizontal="center"/>
    </xf>
    <xf numFmtId="2" fontId="5" fillId="0" borderId="3" xfId="7" applyNumberFormat="1" applyFont="1" applyFill="1" applyBorder="1" applyAlignment="1" applyProtection="1">
      <alignment horizontal="center"/>
    </xf>
    <xf numFmtId="4" fontId="5" fillId="0" borderId="5" xfId="7" applyNumberFormat="1" applyFont="1" applyFill="1" applyBorder="1" applyAlignment="1" applyProtection="1">
      <alignment horizontal="center"/>
    </xf>
    <xf numFmtId="49" fontId="6" fillId="2" borderId="3" xfId="7" applyNumberFormat="1" applyFont="1" applyFill="1" applyBorder="1" applyAlignment="1" applyProtection="1">
      <alignment horizontal="center"/>
    </xf>
    <xf numFmtId="49" fontId="6" fillId="2" borderId="4" xfId="7" applyNumberFormat="1" applyFont="1" applyFill="1" applyBorder="1" applyAlignment="1" applyProtection="1">
      <alignment horizontal="center"/>
    </xf>
    <xf numFmtId="171" fontId="6" fillId="2" borderId="5" xfId="7" applyNumberFormat="1" applyFont="1" applyFill="1" applyBorder="1" applyAlignment="1" applyProtection="1">
      <alignment horizontal="center"/>
    </xf>
    <xf numFmtId="2" fontId="6" fillId="2" borderId="5" xfId="7" applyNumberFormat="1" applyFont="1" applyFill="1" applyBorder="1" applyAlignment="1" applyProtection="1">
      <alignment horizontal="center"/>
    </xf>
    <xf numFmtId="49" fontId="6" fillId="2" borderId="5" xfId="7" applyNumberFormat="1" applyFont="1" applyFill="1" applyBorder="1" applyAlignment="1" applyProtection="1">
      <alignment horizontal="center"/>
    </xf>
    <xf numFmtId="170" fontId="6" fillId="2" borderId="5" xfId="7" applyNumberFormat="1" applyFont="1" applyFill="1" applyBorder="1" applyAlignment="1" applyProtection="1">
      <alignment horizontal="center"/>
    </xf>
    <xf numFmtId="2" fontId="6" fillId="2" borderId="5" xfId="7" applyNumberFormat="1" applyFont="1" applyFill="1" applyBorder="1" applyAlignment="1" applyProtection="1">
      <alignment horizontal="center"/>
      <protection locked="0"/>
    </xf>
    <xf numFmtId="170" fontId="6" fillId="2" borderId="5" xfId="7" applyNumberFormat="1" applyFont="1" applyFill="1" applyBorder="1" applyAlignment="1" applyProtection="1">
      <alignment horizontal="center"/>
      <protection locked="0"/>
    </xf>
    <xf numFmtId="164" fontId="16" fillId="0" borderId="13" xfId="7" applyFont="1" applyBorder="1" applyAlignment="1">
      <alignment horizontal="center"/>
    </xf>
    <xf numFmtId="164" fontId="16" fillId="0" borderId="15" xfId="7" applyFont="1" applyBorder="1" applyAlignment="1">
      <alignment horizontal="center"/>
    </xf>
    <xf numFmtId="49" fontId="16" fillId="4" borderId="6" xfId="7" applyNumberFormat="1" applyFont="1" applyFill="1" applyBorder="1" applyAlignment="1" applyProtection="1">
      <alignment horizontal="center"/>
    </xf>
    <xf numFmtId="49" fontId="16" fillId="3" borderId="5" xfId="7" applyNumberFormat="1" applyFont="1" applyFill="1" applyBorder="1" applyAlignment="1" applyProtection="1">
      <alignment horizontal="center"/>
    </xf>
    <xf numFmtId="0" fontId="0" fillId="0" borderId="11" xfId="0" applyBorder="1" applyAlignment="1"/>
    <xf numFmtId="170" fontId="5" fillId="0" borderId="5" xfId="7" applyNumberFormat="1" applyFont="1" applyFill="1" applyBorder="1" applyAlignment="1" applyProtection="1">
      <alignment horizontal="center"/>
    </xf>
    <xf numFmtId="164" fontId="5" fillId="0" borderId="12" xfId="7" applyFont="1" applyBorder="1" applyAlignment="1">
      <alignment horizontal="left" indent="1"/>
    </xf>
    <xf numFmtId="0" fontId="5" fillId="0" borderId="0" xfId="0" applyFont="1" applyFill="1" applyBorder="1" applyAlignment="1">
      <alignment horizontal="right"/>
    </xf>
    <xf numFmtId="164" fontId="5" fillId="0" borderId="12" xfId="7" applyFont="1" applyFill="1" applyBorder="1" applyAlignment="1">
      <alignment horizontal="left"/>
    </xf>
    <xf numFmtId="164" fontId="5" fillId="0" borderId="0" xfId="7" applyFont="1" applyFill="1" applyBorder="1" applyAlignment="1">
      <alignment horizontal="right"/>
    </xf>
    <xf numFmtId="0" fontId="6" fillId="0" borderId="0" xfId="7" applyNumberFormat="1" applyFont="1" applyFill="1" applyBorder="1" applyAlignment="1">
      <alignment horizontal="left"/>
    </xf>
    <xf numFmtId="1" fontId="6" fillId="0" borderId="13" xfId="7" applyNumberFormat="1" applyFont="1" applyFill="1" applyBorder="1" applyAlignment="1">
      <alignment horizontal="center"/>
    </xf>
    <xf numFmtId="164" fontId="5" fillId="0" borderId="3" xfId="7" applyFont="1" applyBorder="1" applyAlignment="1">
      <alignment horizontal="left"/>
    </xf>
    <xf numFmtId="164" fontId="5" fillId="0" borderId="13" xfId="7" applyFont="1" applyFill="1" applyBorder="1"/>
    <xf numFmtId="0" fontId="2" fillId="0" borderId="14" xfId="0" applyFont="1" applyBorder="1" applyAlignment="1"/>
    <xf numFmtId="0" fontId="6" fillId="2" borderId="5" xfId="7" applyNumberFormat="1" applyFont="1" applyFill="1" applyBorder="1" applyAlignment="1">
      <alignment horizontal="center"/>
    </xf>
    <xf numFmtId="164" fontId="18" fillId="0" borderId="0" xfId="7" applyFont="1"/>
    <xf numFmtId="164" fontId="18" fillId="0" borderId="16" xfId="7" applyFont="1" applyBorder="1" applyAlignment="1">
      <alignment horizontal="center"/>
    </xf>
    <xf numFmtId="164" fontId="18" fillId="0" borderId="15" xfId="7" applyFont="1" applyBorder="1" applyAlignment="1">
      <alignment horizontal="center"/>
    </xf>
    <xf numFmtId="171" fontId="6" fillId="2" borderId="5" xfId="0" applyNumberFormat="1" applyFont="1" applyFill="1" applyBorder="1" applyAlignment="1">
      <alignment horizontal="center"/>
    </xf>
    <xf numFmtId="171" fontId="6" fillId="2" borderId="5" xfId="7" applyNumberFormat="1" applyFont="1" applyFill="1" applyBorder="1" applyAlignment="1">
      <alignment horizontal="center"/>
    </xf>
    <xf numFmtId="164" fontId="5" fillId="0" borderId="11" xfId="7" applyFont="1" applyBorder="1" applyAlignment="1">
      <alignment horizontal="right"/>
    </xf>
    <xf numFmtId="3" fontId="5" fillId="0" borderId="5" xfId="7" applyNumberFormat="1" applyFont="1" applyBorder="1" applyAlignment="1">
      <alignment horizontal="center"/>
    </xf>
    <xf numFmtId="3" fontId="2" fillId="3" borderId="5" xfId="0" applyNumberFormat="1" applyFont="1" applyFill="1" applyBorder="1" applyAlignment="1">
      <alignment horizontal="center"/>
    </xf>
    <xf numFmtId="3" fontId="2" fillId="0" borderId="5" xfId="0" applyNumberFormat="1" applyFont="1" applyFill="1" applyBorder="1" applyAlignment="1">
      <alignment horizontal="center"/>
    </xf>
    <xf numFmtId="175" fontId="7" fillId="2" borderId="5" xfId="0" applyNumberFormat="1" applyFont="1" applyFill="1" applyBorder="1" applyAlignment="1">
      <alignment horizontal="center"/>
    </xf>
    <xf numFmtId="171" fontId="2" fillId="0" borderId="5" xfId="0" applyNumberFormat="1" applyFont="1" applyFill="1" applyBorder="1" applyAlignment="1">
      <alignment horizontal="center"/>
    </xf>
    <xf numFmtId="0" fontId="16" fillId="0" borderId="0" xfId="0" applyFont="1" applyBorder="1" applyAlignment="1">
      <alignment horizontal="center"/>
    </xf>
    <xf numFmtId="0" fontId="16" fillId="0" borderId="16" xfId="0" applyFont="1" applyBorder="1" applyAlignment="1">
      <alignment horizontal="center"/>
    </xf>
    <xf numFmtId="0" fontId="38" fillId="0" borderId="0" xfId="0" applyFont="1" applyAlignment="1">
      <alignment horizontal="center" vertical="center"/>
    </xf>
    <xf numFmtId="0" fontId="39" fillId="0" borderId="0" xfId="0" applyFont="1" applyAlignment="1">
      <alignment horizontal="center" vertical="center"/>
    </xf>
    <xf numFmtId="0" fontId="6" fillId="0" borderId="12" xfId="0" applyFont="1" applyFill="1" applyBorder="1" applyAlignment="1">
      <alignment horizontal="left"/>
    </xf>
    <xf numFmtId="0" fontId="6" fillId="0" borderId="0" xfId="0" applyFont="1" applyFill="1" applyBorder="1" applyAlignment="1">
      <alignment horizontal="center"/>
    </xf>
    <xf numFmtId="0" fontId="6" fillId="0" borderId="0" xfId="0" applyFont="1" applyFill="1" applyBorder="1" applyAlignment="1">
      <alignment horizontal="left"/>
    </xf>
    <xf numFmtId="0" fontId="16" fillId="0" borderId="0" xfId="0" applyFont="1" applyBorder="1" applyAlignment="1">
      <alignment horizontal="left"/>
    </xf>
    <xf numFmtId="0" fontId="0" fillId="0" borderId="11" xfId="0" applyBorder="1" applyAlignment="1">
      <alignment horizontal="left"/>
    </xf>
    <xf numFmtId="49" fontId="6" fillId="0" borderId="16" xfId="0" applyNumberFormat="1" applyFont="1" applyFill="1" applyBorder="1" applyAlignment="1">
      <alignment horizontal="left"/>
    </xf>
    <xf numFmtId="0" fontId="6" fillId="2" borderId="3" xfId="0" applyNumberFormat="1" applyFont="1" applyFill="1" applyBorder="1" applyAlignment="1">
      <alignment horizontal="left"/>
    </xf>
    <xf numFmtId="0" fontId="5" fillId="0" borderId="0" xfId="0" applyFont="1" applyFill="1" applyBorder="1" applyAlignment="1" applyProtection="1"/>
    <xf numFmtId="0" fontId="2" fillId="0" borderId="9" xfId="0" applyFont="1" applyFill="1" applyBorder="1" applyAlignment="1">
      <alignment horizontal="center"/>
    </xf>
    <xf numFmtId="2" fontId="5" fillId="0" borderId="5" xfId="0" applyNumberFormat="1" applyFont="1" applyFill="1" applyBorder="1" applyAlignment="1">
      <alignment horizontal="center" wrapText="1"/>
    </xf>
    <xf numFmtId="2" fontId="0" fillId="0" borderId="17" xfId="0" applyNumberFormat="1" applyBorder="1" applyAlignment="1">
      <alignment horizontal="left"/>
    </xf>
    <xf numFmtId="2" fontId="0" fillId="0" borderId="11" xfId="0" applyNumberFormat="1" applyBorder="1" applyAlignment="1">
      <alignment horizontal="left"/>
    </xf>
    <xf numFmtId="2" fontId="5" fillId="0" borderId="0" xfId="0" applyNumberFormat="1" applyFont="1" applyBorder="1" applyAlignment="1">
      <alignment horizontal="center"/>
    </xf>
    <xf numFmtId="2" fontId="5" fillId="0" borderId="13" xfId="0" applyNumberFormat="1" applyFont="1" applyBorder="1" applyAlignment="1">
      <alignment horizontal="center"/>
    </xf>
    <xf numFmtId="0" fontId="5" fillId="3" borderId="14" xfId="7" applyNumberFormat="1" applyFont="1" applyFill="1" applyBorder="1" applyAlignment="1" applyProtection="1">
      <alignment horizontal="left"/>
    </xf>
    <xf numFmtId="0" fontId="5" fillId="0" borderId="0" xfId="0" applyFont="1" applyFill="1"/>
    <xf numFmtId="170" fontId="5" fillId="0" borderId="16" xfId="0" applyNumberFormat="1" applyFont="1" applyFill="1" applyBorder="1" applyAlignment="1">
      <alignment horizontal="center"/>
    </xf>
    <xf numFmtId="2" fontId="6" fillId="3" borderId="5" xfId="0" applyNumberFormat="1" applyFont="1" applyFill="1" applyBorder="1" applyAlignment="1">
      <alignment horizontal="center"/>
    </xf>
    <xf numFmtId="0" fontId="19" fillId="0" borderId="16" xfId="0" applyFont="1" applyBorder="1" applyAlignment="1">
      <alignment horizontal="center" vertical="top"/>
    </xf>
    <xf numFmtId="1" fontId="6" fillId="0" borderId="16" xfId="0" applyNumberFormat="1" applyFont="1" applyFill="1" applyBorder="1" applyAlignment="1">
      <alignment horizontal="center"/>
    </xf>
    <xf numFmtId="2" fontId="24" fillId="0" borderId="16" xfId="0" applyNumberFormat="1" applyFont="1" applyFill="1" applyBorder="1" applyAlignment="1">
      <alignment horizontal="right"/>
    </xf>
    <xf numFmtId="170" fontId="24" fillId="0" borderId="16" xfId="0" applyNumberFormat="1" applyFont="1" applyFill="1" applyBorder="1" applyAlignment="1">
      <alignment horizontal="left"/>
    </xf>
    <xf numFmtId="170" fontId="5" fillId="0" borderId="15" xfId="0" applyNumberFormat="1" applyFont="1" applyFill="1" applyBorder="1" applyAlignment="1">
      <alignment horizontal="center"/>
    </xf>
    <xf numFmtId="2" fontId="5" fillId="0" borderId="15" xfId="0" applyNumberFormat="1" applyFont="1" applyFill="1" applyBorder="1" applyAlignment="1">
      <alignment horizontal="center"/>
    </xf>
    <xf numFmtId="0" fontId="5" fillId="0" borderId="0" xfId="0" applyFont="1" applyFill="1" applyAlignment="1"/>
    <xf numFmtId="0" fontId="40" fillId="0" borderId="0" xfId="0" applyFont="1" applyAlignment="1">
      <alignment horizontal="center" vertical="center"/>
    </xf>
    <xf numFmtId="0" fontId="6" fillId="2" borderId="5" xfId="0" applyFont="1" applyFill="1" applyBorder="1" applyAlignment="1">
      <alignment horizontal="left"/>
    </xf>
    <xf numFmtId="0" fontId="6" fillId="2" borderId="5" xfId="0" applyNumberFormat="1" applyFont="1" applyFill="1" applyBorder="1" applyAlignment="1">
      <alignment horizontal="left"/>
    </xf>
    <xf numFmtId="164" fontId="10" fillId="0" borderId="10" xfId="7" applyFont="1" applyBorder="1" applyAlignment="1">
      <alignment horizontal="center"/>
    </xf>
    <xf numFmtId="0" fontId="6" fillId="0" borderId="0" xfId="7" applyNumberFormat="1" applyFont="1" applyFill="1" applyBorder="1" applyAlignment="1"/>
    <xf numFmtId="2" fontId="5" fillId="0" borderId="6" xfId="7" quotePrefix="1" applyNumberFormat="1" applyFont="1" applyFill="1" applyBorder="1" applyAlignment="1">
      <alignment horizontal="center"/>
    </xf>
    <xf numFmtId="1" fontId="6" fillId="2" borderId="6" xfId="7" applyNumberFormat="1" applyFont="1" applyFill="1" applyBorder="1" applyAlignment="1">
      <alignment horizontal="center"/>
    </xf>
    <xf numFmtId="170" fontId="6" fillId="2" borderId="6" xfId="7" applyNumberFormat="1" applyFont="1" applyFill="1" applyBorder="1" applyAlignment="1">
      <alignment horizontal="center"/>
    </xf>
    <xf numFmtId="1" fontId="6" fillId="0" borderId="0" xfId="0" applyNumberFormat="1" applyFont="1" applyFill="1" applyBorder="1" applyAlignment="1" applyProtection="1">
      <alignment horizontal="center"/>
      <protection locked="0"/>
    </xf>
    <xf numFmtId="1" fontId="41" fillId="0" borderId="0" xfId="0" applyNumberFormat="1" applyFont="1" applyFill="1" applyBorder="1" applyAlignment="1" applyProtection="1">
      <alignment horizontal="left" indent="2"/>
    </xf>
    <xf numFmtId="2" fontId="6" fillId="0" borderId="0" xfId="0" applyNumberFormat="1" applyFont="1" applyFill="1" applyBorder="1" applyAlignment="1" applyProtection="1">
      <alignment horizontal="center"/>
    </xf>
    <xf numFmtId="170" fontId="6" fillId="0" borderId="0" xfId="7" applyNumberFormat="1" applyFont="1" applyFill="1" applyBorder="1" applyAlignment="1">
      <alignment horizontal="center"/>
    </xf>
    <xf numFmtId="170" fontId="6" fillId="2" borderId="10" xfId="0" applyNumberFormat="1" applyFont="1" applyFill="1" applyBorder="1" applyAlignment="1" applyProtection="1">
      <alignment horizontal="center"/>
      <protection locked="0"/>
    </xf>
    <xf numFmtId="170" fontId="6" fillId="2" borderId="3" xfId="0" applyNumberFormat="1" applyFont="1" applyFill="1" applyBorder="1" applyAlignment="1" applyProtection="1">
      <alignment horizontal="center"/>
      <protection locked="0"/>
    </xf>
    <xf numFmtId="1" fontId="24" fillId="0" borderId="16" xfId="7" applyNumberFormat="1" applyFont="1" applyFill="1" applyBorder="1" applyAlignment="1">
      <alignment horizontal="left" indent="1"/>
    </xf>
    <xf numFmtId="2" fontId="24" fillId="0" borderId="16" xfId="7" applyNumberFormat="1" applyFont="1" applyFill="1" applyBorder="1" applyAlignment="1">
      <alignment horizontal="left" indent="1"/>
    </xf>
    <xf numFmtId="164" fontId="5" fillId="0" borderId="10" xfId="7" applyFont="1" applyBorder="1" applyAlignment="1">
      <alignment horizontal="left"/>
    </xf>
    <xf numFmtId="171" fontId="5" fillId="0" borderId="7" xfId="7" applyNumberFormat="1" applyFont="1" applyFill="1" applyBorder="1" applyAlignment="1">
      <alignment horizontal="center"/>
    </xf>
    <xf numFmtId="164" fontId="5" fillId="0" borderId="7" xfId="7" applyFont="1" applyFill="1" applyBorder="1"/>
    <xf numFmtId="49" fontId="5" fillId="0" borderId="6" xfId="7" applyNumberFormat="1" applyFont="1" applyFill="1" applyBorder="1" applyAlignment="1" applyProtection="1">
      <alignment horizontal="left"/>
    </xf>
    <xf numFmtId="164" fontId="5" fillId="0" borderId="7" xfId="7" applyFont="1" applyFill="1" applyBorder="1" applyAlignment="1">
      <alignment horizontal="left"/>
    </xf>
    <xf numFmtId="164" fontId="5" fillId="0" borderId="5" xfId="7" applyFont="1" applyFill="1" applyBorder="1" applyAlignment="1">
      <alignment horizontal="center"/>
    </xf>
    <xf numFmtId="164" fontId="5" fillId="0" borderId="5" xfId="7" applyFont="1" applyFill="1" applyBorder="1"/>
    <xf numFmtId="164" fontId="5" fillId="3" borderId="5" xfId="7" applyFont="1" applyFill="1" applyBorder="1"/>
    <xf numFmtId="164" fontId="5" fillId="3" borderId="5" xfId="7" applyFont="1" applyFill="1" applyBorder="1" applyAlignment="1">
      <alignment horizontal="center"/>
    </xf>
    <xf numFmtId="3" fontId="5" fillId="0" borderId="0" xfId="7" applyNumberFormat="1" applyFont="1" applyBorder="1" applyAlignment="1">
      <alignment horizontal="center"/>
    </xf>
    <xf numFmtId="0" fontId="7" fillId="2" borderId="3" xfId="0" applyFont="1" applyFill="1" applyBorder="1" applyAlignment="1">
      <alignment horizontal="left"/>
    </xf>
    <xf numFmtId="0" fontId="2" fillId="0" borderId="3" xfId="0" applyNumberFormat="1" applyFont="1" applyFill="1" applyBorder="1" applyAlignment="1">
      <alignment horizontal="left"/>
    </xf>
    <xf numFmtId="1" fontId="5" fillId="0" borderId="5" xfId="7" applyNumberFormat="1" applyFont="1" applyBorder="1" applyAlignment="1">
      <alignment horizontal="center"/>
    </xf>
    <xf numFmtId="164" fontId="29" fillId="0" borderId="5" xfId="7" applyFont="1" applyBorder="1"/>
    <xf numFmtId="164" fontId="29" fillId="0" borderId="5" xfId="7" applyFont="1" applyBorder="1" applyAlignment="1">
      <alignment horizontal="center"/>
    </xf>
    <xf numFmtId="170" fontId="5" fillId="0" borderId="9" xfId="7" applyNumberFormat="1" applyFont="1" applyBorder="1" applyAlignment="1">
      <alignment horizontal="center"/>
    </xf>
    <xf numFmtId="3" fontId="5" fillId="3" borderId="5" xfId="7" applyNumberFormat="1" applyFont="1" applyFill="1" applyBorder="1" applyAlignment="1">
      <alignment horizontal="center"/>
    </xf>
    <xf numFmtId="2" fontId="5" fillId="0" borderId="5" xfId="7" applyNumberFormat="1" applyFont="1" applyBorder="1" applyAlignment="1">
      <alignment horizontal="center"/>
    </xf>
    <xf numFmtId="2" fontId="5" fillId="0" borderId="8" xfId="7" applyNumberFormat="1" applyFont="1" applyBorder="1" applyAlignment="1">
      <alignment horizontal="center"/>
    </xf>
    <xf numFmtId="2" fontId="5" fillId="0" borderId="6" xfId="7" applyNumberFormat="1" applyFont="1" applyBorder="1" applyAlignment="1">
      <alignment horizontal="center"/>
    </xf>
    <xf numFmtId="164" fontId="5" fillId="0" borderId="11" xfId="7" applyFont="1" applyFill="1" applyBorder="1"/>
    <xf numFmtId="164" fontId="5" fillId="0" borderId="3" xfId="7" applyFont="1" applyBorder="1" applyAlignment="1">
      <alignment horizontal="center"/>
    </xf>
    <xf numFmtId="164" fontId="5" fillId="0" borderId="9" xfId="7" applyFont="1" applyBorder="1" applyAlignment="1">
      <alignment horizontal="center"/>
    </xf>
    <xf numFmtId="0" fontId="6" fillId="2" borderId="3" xfId="7" applyNumberFormat="1" applyFont="1" applyFill="1" applyBorder="1" applyAlignment="1">
      <alignment horizontal="left"/>
    </xf>
    <xf numFmtId="170" fontId="6" fillId="3" borderId="5" xfId="7" applyNumberFormat="1" applyFont="1" applyFill="1" applyBorder="1" applyAlignment="1">
      <alignment horizontal="center"/>
    </xf>
    <xf numFmtId="3" fontId="5" fillId="0" borderId="7" xfId="7" applyNumberFormat="1" applyFont="1" applyFill="1" applyBorder="1" applyAlignment="1">
      <alignment horizontal="center"/>
    </xf>
    <xf numFmtId="2" fontId="6" fillId="2" borderId="10" xfId="0" applyNumberFormat="1" applyFont="1" applyFill="1" applyBorder="1" applyAlignment="1" applyProtection="1">
      <alignment horizontal="center"/>
      <protection locked="0"/>
    </xf>
    <xf numFmtId="0" fontId="5" fillId="0" borderId="5" xfId="0" applyFont="1" applyFill="1" applyBorder="1" applyAlignment="1" applyProtection="1">
      <alignment horizontal="center"/>
    </xf>
    <xf numFmtId="169" fontId="5" fillId="0" borderId="10" xfId="0" applyNumberFormat="1" applyFont="1" applyFill="1" applyBorder="1" applyAlignment="1" applyProtection="1">
      <alignment horizontal="center"/>
    </xf>
    <xf numFmtId="2" fontId="6" fillId="2" borderId="3" xfId="0" applyNumberFormat="1" applyFont="1" applyFill="1" applyBorder="1" applyAlignment="1" applyProtection="1">
      <alignment horizontal="center"/>
      <protection locked="0"/>
    </xf>
    <xf numFmtId="0" fontId="5" fillId="4" borderId="5" xfId="0" applyFont="1" applyFill="1" applyBorder="1" applyAlignment="1" applyProtection="1">
      <alignment horizontal="center"/>
    </xf>
    <xf numFmtId="170" fontId="6" fillId="2" borderId="5" xfId="0" applyNumberFormat="1" applyFont="1" applyFill="1" applyBorder="1" applyAlignment="1" applyProtection="1">
      <alignment horizontal="center"/>
      <protection locked="0"/>
    </xf>
    <xf numFmtId="3" fontId="5" fillId="0" borderId="6" xfId="0" applyNumberFormat="1" applyFont="1" applyFill="1" applyBorder="1" applyAlignment="1" applyProtection="1">
      <alignment horizontal="center"/>
    </xf>
    <xf numFmtId="169" fontId="5" fillId="0" borderId="3" xfId="0" applyNumberFormat="1" applyFont="1" applyFill="1" applyBorder="1" applyAlignment="1" applyProtection="1">
      <alignment horizontal="center"/>
    </xf>
    <xf numFmtId="3" fontId="5" fillId="0" borderId="5" xfId="0" applyNumberFormat="1" applyFont="1" applyFill="1" applyBorder="1" applyAlignment="1" applyProtection="1">
      <alignment horizontal="center"/>
    </xf>
    <xf numFmtId="1" fontId="5" fillId="0" borderId="5" xfId="0" applyNumberFormat="1" applyFont="1" applyFill="1" applyBorder="1" applyAlignment="1" applyProtection="1">
      <alignment horizontal="center"/>
    </xf>
    <xf numFmtId="49" fontId="5" fillId="0" borderId="7" xfId="7" applyNumberFormat="1" applyFont="1" applyFill="1" applyBorder="1" applyAlignment="1" applyProtection="1">
      <alignment horizontal="center"/>
    </xf>
    <xf numFmtId="0" fontId="6" fillId="2" borderId="9" xfId="7" applyNumberFormat="1" applyFont="1" applyFill="1" applyBorder="1" applyAlignment="1">
      <alignment horizontal="left"/>
    </xf>
    <xf numFmtId="170" fontId="5" fillId="0" borderId="5" xfId="7" applyNumberFormat="1" applyFont="1" applyFill="1" applyBorder="1" applyAlignment="1">
      <alignment horizontal="center"/>
    </xf>
    <xf numFmtId="164" fontId="5" fillId="0" borderId="0" xfId="7" applyFont="1" applyFill="1" applyBorder="1" applyAlignment="1">
      <alignment horizontal="center"/>
    </xf>
    <xf numFmtId="164" fontId="5" fillId="0" borderId="10" xfId="7" applyFont="1" applyFill="1" applyBorder="1" applyAlignment="1">
      <alignment horizontal="left"/>
    </xf>
    <xf numFmtId="164" fontId="5" fillId="0" borderId="16" xfId="7" applyFont="1" applyFill="1" applyBorder="1" applyAlignment="1">
      <alignment horizontal="center"/>
    </xf>
    <xf numFmtId="0" fontId="5" fillId="0" borderId="9" xfId="0" applyFont="1" applyFill="1" applyBorder="1" applyAlignment="1">
      <alignment horizontal="right"/>
    </xf>
    <xf numFmtId="164" fontId="24" fillId="0" borderId="9" xfId="7" applyFont="1" applyFill="1" applyBorder="1" applyAlignment="1">
      <alignment horizontal="left" indent="1"/>
    </xf>
    <xf numFmtId="1" fontId="24" fillId="0" borderId="9" xfId="7" applyNumberFormat="1" applyFont="1" applyFill="1" applyBorder="1" applyAlignment="1">
      <alignment horizontal="left" indent="1"/>
    </xf>
    <xf numFmtId="2" fontId="24" fillId="0" borderId="9" xfId="7" applyNumberFormat="1" applyFont="1" applyFill="1" applyBorder="1" applyAlignment="1">
      <alignment horizontal="left" indent="1"/>
    </xf>
    <xf numFmtId="164" fontId="2" fillId="0" borderId="0" xfId="7" applyFont="1" applyAlignment="1">
      <alignment horizontal="right"/>
    </xf>
    <xf numFmtId="170" fontId="6" fillId="2" borderId="5" xfId="7" applyNumberFormat="1" applyFont="1" applyFill="1" applyBorder="1" applyAlignment="1">
      <alignment horizontal="center"/>
    </xf>
    <xf numFmtId="3" fontId="5" fillId="0" borderId="5" xfId="0" quotePrefix="1" applyNumberFormat="1" applyFont="1" applyFill="1" applyBorder="1" applyAlignment="1">
      <alignment horizontal="center"/>
    </xf>
    <xf numFmtId="170" fontId="5" fillId="0" borderId="0" xfId="7" applyNumberFormat="1" applyFont="1" applyFill="1" applyAlignment="1">
      <alignment horizontal="center"/>
    </xf>
    <xf numFmtId="0" fontId="6" fillId="2" borderId="9" xfId="7" applyNumberFormat="1" applyFont="1" applyFill="1" applyBorder="1" applyAlignment="1">
      <alignment horizontal="center"/>
    </xf>
    <xf numFmtId="164" fontId="5" fillId="0" borderId="9" xfId="7" applyFont="1" applyFill="1" applyBorder="1" applyAlignment="1">
      <alignment horizontal="center"/>
    </xf>
    <xf numFmtId="164" fontId="5" fillId="0" borderId="4" xfId="7" applyFont="1" applyFill="1" applyBorder="1" applyAlignment="1">
      <alignment horizontal="center"/>
    </xf>
    <xf numFmtId="170" fontId="6" fillId="2" borderId="4" xfId="7" applyNumberFormat="1" applyFont="1" applyFill="1" applyBorder="1" applyAlignment="1">
      <alignment horizontal="center"/>
    </xf>
    <xf numFmtId="3" fontId="5" fillId="0" borderId="17" xfId="7" applyNumberFormat="1" applyFont="1" applyFill="1" applyBorder="1" applyAlignment="1">
      <alignment horizontal="left"/>
    </xf>
    <xf numFmtId="164" fontId="5" fillId="0" borderId="17" xfId="7" applyFont="1" applyBorder="1" applyAlignment="1">
      <alignment horizontal="left"/>
    </xf>
    <xf numFmtId="3" fontId="5" fillId="0" borderId="11" xfId="7" applyNumberFormat="1" applyFont="1" applyFill="1" applyBorder="1" applyAlignment="1">
      <alignment horizontal="left"/>
    </xf>
    <xf numFmtId="1" fontId="6" fillId="2" borderId="11" xfId="7" applyNumberFormat="1" applyFont="1" applyFill="1" applyBorder="1" applyAlignment="1">
      <alignment horizontal="center"/>
    </xf>
    <xf numFmtId="3" fontId="5" fillId="0" borderId="11" xfId="7" applyNumberFormat="1" applyFont="1" applyFill="1" applyBorder="1" applyAlignment="1">
      <alignment horizontal="center"/>
    </xf>
    <xf numFmtId="3" fontId="2" fillId="0" borderId="0" xfId="0" applyNumberFormat="1" applyFont="1" applyAlignment="1">
      <alignment horizontal="center"/>
    </xf>
    <xf numFmtId="9" fontId="7" fillId="2" borderId="5" xfId="0" applyNumberFormat="1" applyFont="1" applyFill="1" applyBorder="1" applyAlignment="1">
      <alignment horizontal="center"/>
    </xf>
    <xf numFmtId="170" fontId="5" fillId="0" borderId="5" xfId="0" applyNumberFormat="1" applyFont="1" applyBorder="1" applyAlignment="1">
      <alignment horizontal="center" vertical="top"/>
    </xf>
    <xf numFmtId="2" fontId="5" fillId="0" borderId="16" xfId="0" applyNumberFormat="1" applyFont="1" applyFill="1" applyBorder="1" applyAlignment="1">
      <alignment horizontal="left" indent="1"/>
    </xf>
    <xf numFmtId="0" fontId="5" fillId="0" borderId="16" xfId="0" applyFont="1" applyFill="1" applyBorder="1" applyAlignment="1">
      <alignment horizontal="left" indent="1"/>
    </xf>
    <xf numFmtId="164" fontId="5" fillId="0" borderId="16" xfId="7" applyFont="1" applyFill="1" applyBorder="1" applyAlignment="1">
      <alignment horizontal="left" indent="1"/>
    </xf>
    <xf numFmtId="1" fontId="5" fillId="0" borderId="16" xfId="7" applyNumberFormat="1" applyFont="1" applyFill="1" applyBorder="1" applyAlignment="1">
      <alignment horizontal="left" indent="1"/>
    </xf>
    <xf numFmtId="2" fontId="5" fillId="0" borderId="16" xfId="7" applyNumberFormat="1" applyFont="1" applyFill="1" applyBorder="1" applyAlignment="1">
      <alignment horizontal="left" indent="1"/>
    </xf>
    <xf numFmtId="2" fontId="5" fillId="0" borderId="15" xfId="7" applyNumberFormat="1" applyFont="1" applyFill="1" applyBorder="1" applyAlignment="1">
      <alignment horizontal="left" indent="1"/>
    </xf>
    <xf numFmtId="170" fontId="5" fillId="0" borderId="0" xfId="0" applyNumberFormat="1" applyFont="1" applyBorder="1" applyAlignment="1">
      <alignment horizontal="center"/>
    </xf>
    <xf numFmtId="170" fontId="5" fillId="0" borderId="13" xfId="0" applyNumberFormat="1" applyFont="1" applyBorder="1" applyAlignment="1">
      <alignment horizontal="left"/>
    </xf>
    <xf numFmtId="170" fontId="5" fillId="0" borderId="15" xfId="0" applyNumberFormat="1" applyFont="1" applyBorder="1" applyAlignment="1">
      <alignment horizontal="left"/>
    </xf>
    <xf numFmtId="2" fontId="30" fillId="2" borderId="5" xfId="0" applyNumberFormat="1" applyFont="1" applyFill="1" applyBorder="1" applyAlignment="1">
      <alignment horizontal="center"/>
    </xf>
    <xf numFmtId="0" fontId="16" fillId="0" borderId="0" xfId="0" applyFont="1" applyFill="1" applyBorder="1" applyAlignment="1">
      <alignment horizontal="center"/>
    </xf>
    <xf numFmtId="0" fontId="5" fillId="0" borderId="13" xfId="0" applyFont="1" applyFill="1" applyBorder="1" applyAlignment="1">
      <alignment horizontal="left"/>
    </xf>
    <xf numFmtId="171" fontId="7" fillId="2" borderId="5" xfId="0" applyNumberFormat="1" applyFont="1" applyFill="1" applyBorder="1" applyAlignment="1">
      <alignment horizontal="center"/>
    </xf>
    <xf numFmtId="0" fontId="2" fillId="0" borderId="0" xfId="0" applyFont="1" applyFill="1" applyAlignment="1">
      <alignment horizontal="center"/>
    </xf>
    <xf numFmtId="171" fontId="2" fillId="0" borderId="0" xfId="0" applyNumberFormat="1" applyFont="1" applyAlignment="1">
      <alignment horizontal="center"/>
    </xf>
    <xf numFmtId="3" fontId="31" fillId="0" borderId="3" xfId="0" quotePrefix="1" applyNumberFormat="1" applyFont="1" applyFill="1" applyBorder="1" applyAlignment="1" applyProtection="1">
      <alignment horizontal="center"/>
    </xf>
    <xf numFmtId="1" fontId="31" fillId="0" borderId="17" xfId="0" applyNumberFormat="1" applyFont="1" applyFill="1" applyBorder="1" applyAlignment="1" applyProtection="1">
      <alignment horizontal="left" indent="2"/>
    </xf>
    <xf numFmtId="2" fontId="42" fillId="0" borderId="17" xfId="0" applyNumberFormat="1" applyFont="1" applyFill="1" applyBorder="1" applyAlignment="1" applyProtection="1">
      <alignment horizontal="center"/>
    </xf>
    <xf numFmtId="170" fontId="42" fillId="0" borderId="17" xfId="7" applyNumberFormat="1" applyFont="1" applyFill="1" applyBorder="1" applyAlignment="1">
      <alignment horizontal="center"/>
    </xf>
    <xf numFmtId="1" fontId="42" fillId="0" borderId="17" xfId="7" applyNumberFormat="1" applyFont="1" applyFill="1" applyBorder="1" applyAlignment="1">
      <alignment horizontal="center"/>
    </xf>
    <xf numFmtId="164" fontId="42" fillId="0" borderId="0" xfId="7" applyFont="1" applyFill="1" applyBorder="1"/>
    <xf numFmtId="4" fontId="31" fillId="0" borderId="5" xfId="0" quotePrefix="1" applyNumberFormat="1" applyFont="1" applyFill="1" applyBorder="1" applyAlignment="1" applyProtection="1">
      <alignment horizontal="center"/>
    </xf>
    <xf numFmtId="3" fontId="31" fillId="0" borderId="5" xfId="0" quotePrefix="1" applyNumberFormat="1" applyFont="1" applyFill="1" applyBorder="1" applyAlignment="1" applyProtection="1">
      <alignment horizontal="center"/>
    </xf>
    <xf numFmtId="2" fontId="5" fillId="0" borderId="17" xfId="0" applyNumberFormat="1" applyFont="1" applyFill="1" applyBorder="1" applyAlignment="1" applyProtection="1">
      <alignment horizontal="center"/>
    </xf>
    <xf numFmtId="1" fontId="5" fillId="0" borderId="17" xfId="7" applyNumberFormat="1" applyFont="1" applyFill="1" applyBorder="1" applyAlignment="1">
      <alignment horizontal="center"/>
    </xf>
    <xf numFmtId="3" fontId="31" fillId="0" borderId="5" xfId="0" applyNumberFormat="1" applyFont="1" applyFill="1" applyBorder="1" applyAlignment="1" applyProtection="1">
      <alignment horizontal="center"/>
    </xf>
    <xf numFmtId="171" fontId="5" fillId="0" borderId="0" xfId="7" applyNumberFormat="1" applyFont="1" applyFill="1" applyBorder="1" applyAlignment="1">
      <alignment horizontal="center"/>
    </xf>
    <xf numFmtId="171" fontId="6" fillId="0" borderId="13" xfId="7" applyNumberFormat="1" applyFont="1" applyFill="1" applyBorder="1" applyAlignment="1">
      <alignment horizontal="center"/>
    </xf>
    <xf numFmtId="3" fontId="7" fillId="3" borderId="5" xfId="0" applyNumberFormat="1" applyFont="1" applyFill="1" applyBorder="1" applyAlignment="1">
      <alignment horizontal="center"/>
    </xf>
    <xf numFmtId="0" fontId="26" fillId="0" borderId="7" xfId="0" applyFont="1" applyFill="1" applyBorder="1" applyAlignment="1">
      <alignment horizontal="center" wrapText="1"/>
    </xf>
    <xf numFmtId="1" fontId="6" fillId="5" borderId="6" xfId="0" applyNumberFormat="1" applyFont="1" applyFill="1" applyBorder="1" applyAlignment="1">
      <alignment horizontal="center" wrapText="1"/>
    </xf>
    <xf numFmtId="0" fontId="6" fillId="5" borderId="7" xfId="0" applyFont="1" applyFill="1" applyBorder="1" applyAlignment="1">
      <alignment horizontal="center"/>
    </xf>
    <xf numFmtId="0" fontId="6" fillId="5" borderId="8" xfId="0" applyFont="1" applyFill="1" applyBorder="1" applyAlignment="1">
      <alignment horizontal="center"/>
    </xf>
    <xf numFmtId="170" fontId="6" fillId="5" borderId="5" xfId="0" applyNumberFormat="1" applyFont="1" applyFill="1" applyBorder="1" applyAlignment="1">
      <alignment horizontal="center" wrapText="1"/>
    </xf>
    <xf numFmtId="0" fontId="6" fillId="0" borderId="0" xfId="0" applyFont="1" applyBorder="1" applyAlignment="1">
      <alignment horizontal="left"/>
    </xf>
    <xf numFmtId="0" fontId="6" fillId="0" borderId="14" xfId="0" applyFont="1" applyFill="1" applyBorder="1" applyAlignment="1">
      <alignment horizontal="left"/>
    </xf>
    <xf numFmtId="0" fontId="6" fillId="0" borderId="16" xfId="0" applyFont="1" applyFill="1" applyBorder="1" applyAlignment="1">
      <alignment horizontal="center"/>
    </xf>
    <xf numFmtId="0" fontId="6" fillId="0" borderId="15" xfId="0" applyFont="1" applyFill="1" applyBorder="1" applyAlignment="1">
      <alignment horizontal="center"/>
    </xf>
    <xf numFmtId="1" fontId="5" fillId="0" borderId="10" xfId="0" applyNumberFormat="1" applyFont="1" applyFill="1" applyBorder="1" applyAlignment="1">
      <alignment horizontal="center"/>
    </xf>
    <xf numFmtId="2" fontId="29" fillId="0" borderId="16" xfId="0" applyNumberFormat="1" applyFont="1" applyFill="1" applyBorder="1" applyAlignment="1">
      <alignment horizontal="center"/>
    </xf>
    <xf numFmtId="0" fontId="18" fillId="0" borderId="0" xfId="0" applyFont="1" applyFill="1" applyBorder="1" applyAlignment="1" applyProtection="1"/>
    <xf numFmtId="0" fontId="5" fillId="3" borderId="17" xfId="0" applyFont="1" applyFill="1" applyBorder="1" applyAlignment="1" applyProtection="1">
      <alignment horizontal="left" vertical="top"/>
    </xf>
    <xf numFmtId="0" fontId="5" fillId="3" borderId="16" xfId="0" applyFont="1" applyFill="1" applyBorder="1" applyAlignment="1" applyProtection="1">
      <alignment horizontal="left" vertical="top"/>
    </xf>
    <xf numFmtId="0" fontId="5" fillId="3" borderId="7" xfId="0" applyFont="1" applyFill="1" applyBorder="1" applyAlignment="1" applyProtection="1">
      <alignment horizontal="left"/>
    </xf>
    <xf numFmtId="0" fontId="5" fillId="3" borderId="3" xfId="0" applyFont="1" applyFill="1" applyBorder="1" applyAlignment="1" applyProtection="1">
      <alignment horizontal="left" vertical="center"/>
    </xf>
    <xf numFmtId="0" fontId="5" fillId="3" borderId="9" xfId="0" applyFont="1" applyFill="1" applyBorder="1" applyAlignment="1" applyProtection="1">
      <alignment horizontal="left"/>
    </xf>
    <xf numFmtId="0" fontId="5" fillId="3" borderId="4" xfId="0" applyFont="1" applyFill="1" applyBorder="1" applyAlignment="1">
      <alignment horizontal="center"/>
    </xf>
    <xf numFmtId="0" fontId="5" fillId="3" borderId="4" xfId="0" applyFont="1" applyFill="1" applyBorder="1"/>
    <xf numFmtId="0" fontId="5" fillId="3" borderId="10" xfId="0" applyFont="1" applyFill="1" applyBorder="1" applyAlignment="1" applyProtection="1">
      <alignment horizontal="left" vertical="top"/>
    </xf>
    <xf numFmtId="0" fontId="5" fillId="3" borderId="14" xfId="0" applyFont="1" applyFill="1" applyBorder="1" applyAlignment="1" applyProtection="1">
      <alignment horizontal="left" vertical="top"/>
    </xf>
    <xf numFmtId="0" fontId="5" fillId="3" borderId="11" xfId="0" applyFont="1" applyFill="1" applyBorder="1" applyAlignment="1">
      <alignment horizontal="left" vertical="top"/>
    </xf>
    <xf numFmtId="0" fontId="5" fillId="3" borderId="15" xfId="0" applyFont="1" applyFill="1" applyBorder="1" applyAlignment="1">
      <alignment horizontal="left" vertical="top"/>
    </xf>
    <xf numFmtId="0" fontId="2" fillId="0" borderId="9" xfId="0" applyFont="1" applyFill="1" applyBorder="1" applyAlignment="1">
      <alignment horizontal="right"/>
    </xf>
    <xf numFmtId="0" fontId="6" fillId="0" borderId="0" xfId="0" applyFont="1" applyAlignment="1">
      <alignment horizontal="center"/>
    </xf>
    <xf numFmtId="2" fontId="2" fillId="0" borderId="0" xfId="0" applyNumberFormat="1" applyFont="1" applyAlignment="1">
      <alignment horizontal="center"/>
    </xf>
    <xf numFmtId="2" fontId="2" fillId="0" borderId="0" xfId="0" applyNumberFormat="1" applyFont="1"/>
    <xf numFmtId="164" fontId="10" fillId="0" borderId="6" xfId="7" applyFont="1" applyFill="1" applyBorder="1" applyAlignment="1">
      <alignment horizontal="center"/>
    </xf>
    <xf numFmtId="164" fontId="10" fillId="0" borderId="8" xfId="7" applyFont="1" applyFill="1" applyBorder="1" applyAlignment="1">
      <alignment horizontal="center"/>
    </xf>
    <xf numFmtId="0" fontId="10" fillId="0" borderId="0" xfId="0" applyFont="1" applyAlignment="1">
      <alignment horizontal="right" indent="1"/>
    </xf>
    <xf numFmtId="170" fontId="5" fillId="0" borderId="8" xfId="0" applyNumberFormat="1" applyFont="1" applyFill="1" applyBorder="1" applyAlignment="1">
      <alignment horizontal="center"/>
    </xf>
    <xf numFmtId="0" fontId="5" fillId="0" borderId="5" xfId="0" applyNumberFormat="1" applyFont="1" applyFill="1" applyBorder="1" applyAlignment="1">
      <alignment horizontal="center" wrapText="1"/>
    </xf>
    <xf numFmtId="49" fontId="5" fillId="0" borderId="5" xfId="0" applyNumberFormat="1" applyFont="1" applyFill="1" applyBorder="1" applyAlignment="1">
      <alignment horizontal="center" wrapText="1"/>
    </xf>
    <xf numFmtId="0" fontId="5" fillId="0" borderId="7" xfId="0" applyFont="1" applyFill="1" applyBorder="1" applyAlignment="1">
      <alignment horizontal="center" wrapText="1"/>
    </xf>
    <xf numFmtId="0" fontId="5" fillId="0" borderId="9" xfId="0" applyFont="1" applyBorder="1" applyAlignment="1"/>
    <xf numFmtId="0" fontId="5" fillId="0" borderId="0" xfId="0" applyFont="1" applyAlignment="1">
      <alignment horizontal="right" indent="1"/>
    </xf>
    <xf numFmtId="0" fontId="5" fillId="0" borderId="4" xfId="0" applyFont="1" applyBorder="1" applyAlignment="1"/>
    <xf numFmtId="0" fontId="5" fillId="0" borderId="9" xfId="0" applyFont="1" applyBorder="1" applyAlignment="1">
      <alignment horizontal="right"/>
    </xf>
    <xf numFmtId="170" fontId="5" fillId="0" borderId="9" xfId="0" applyNumberFormat="1" applyFont="1" applyBorder="1" applyAlignment="1">
      <alignment horizontal="left"/>
    </xf>
    <xf numFmtId="1" fontId="5" fillId="5" borderId="6" xfId="0" applyNumberFormat="1" applyFont="1" applyFill="1" applyBorder="1" applyAlignment="1">
      <alignment horizontal="center"/>
    </xf>
    <xf numFmtId="0" fontId="5" fillId="5" borderId="0" xfId="0" applyFont="1" applyFill="1" applyAlignment="1">
      <alignment horizontal="center"/>
    </xf>
    <xf numFmtId="0" fontId="5" fillId="5" borderId="7" xfId="0" applyFont="1" applyFill="1" applyBorder="1" applyAlignment="1">
      <alignment horizontal="center"/>
    </xf>
    <xf numFmtId="0" fontId="5" fillId="5" borderId="8" xfId="0" applyFont="1" applyFill="1" applyBorder="1" applyAlignment="1">
      <alignment horizontal="center"/>
    </xf>
    <xf numFmtId="49" fontId="16" fillId="0" borderId="6" xfId="7" applyNumberFormat="1" applyFont="1" applyFill="1" applyBorder="1" applyAlignment="1" applyProtection="1">
      <alignment horizontal="center"/>
    </xf>
    <xf numFmtId="164" fontId="16" fillId="0" borderId="7" xfId="7" applyFont="1" applyFill="1" applyBorder="1" applyAlignment="1">
      <alignment horizontal="center"/>
    </xf>
    <xf numFmtId="164" fontId="16" fillId="0" borderId="8" xfId="7" applyFont="1" applyFill="1" applyBorder="1" applyAlignment="1">
      <alignment horizontal="center"/>
    </xf>
    <xf numFmtId="2" fontId="16" fillId="0" borderId="3" xfId="7" applyNumberFormat="1" applyFont="1" applyFill="1" applyBorder="1" applyAlignment="1" applyProtection="1">
      <alignment horizontal="center"/>
    </xf>
    <xf numFmtId="49" fontId="16" fillId="0" borderId="11" xfId="7" applyNumberFormat="1" applyFont="1" applyFill="1" applyBorder="1" applyAlignment="1" applyProtection="1">
      <alignment horizontal="center"/>
    </xf>
    <xf numFmtId="164" fontId="16" fillId="0" borderId="13" xfId="7" applyFont="1" applyFill="1" applyBorder="1" applyAlignment="1">
      <alignment horizontal="center"/>
    </xf>
    <xf numFmtId="164" fontId="16" fillId="0" borderId="15" xfId="7" applyFont="1" applyFill="1" applyBorder="1" applyAlignment="1">
      <alignment horizontal="center"/>
    </xf>
    <xf numFmtId="49" fontId="16" fillId="0" borderId="5" xfId="7" applyNumberFormat="1" applyFont="1" applyFill="1" applyBorder="1" applyAlignment="1" applyProtection="1">
      <alignment horizontal="center"/>
    </xf>
    <xf numFmtId="49" fontId="5" fillId="6" borderId="6" xfId="7" applyNumberFormat="1" applyFont="1" applyFill="1" applyBorder="1" applyAlignment="1" applyProtection="1">
      <alignment horizontal="center"/>
    </xf>
    <xf numFmtId="171" fontId="5" fillId="6" borderId="5" xfId="7" applyNumberFormat="1" applyFont="1" applyFill="1" applyBorder="1" applyAlignment="1">
      <alignment horizontal="center"/>
    </xf>
    <xf numFmtId="164" fontId="5" fillId="6" borderId="8" xfId="7" applyFont="1" applyFill="1" applyBorder="1" applyAlignment="1">
      <alignment horizontal="center"/>
    </xf>
    <xf numFmtId="164" fontId="5" fillId="0" borderId="16" xfId="7" applyFont="1" applyBorder="1" applyAlignment="1">
      <alignment horizontal="left"/>
    </xf>
    <xf numFmtId="0" fontId="2" fillId="0" borderId="4" xfId="0" applyFont="1" applyFill="1" applyBorder="1" applyAlignment="1">
      <alignment horizontal="center"/>
    </xf>
    <xf numFmtId="0" fontId="2" fillId="0" borderId="5" xfId="0" applyFont="1" applyFill="1" applyBorder="1" applyAlignment="1">
      <alignment horizontal="left" indent="1"/>
    </xf>
    <xf numFmtId="3" fontId="5" fillId="0" borderId="9" xfId="0" applyNumberFormat="1" applyFont="1" applyBorder="1" applyAlignment="1">
      <alignment horizontal="right" wrapText="1"/>
    </xf>
    <xf numFmtId="170" fontId="16" fillId="0" borderId="5" xfId="7" applyNumberFormat="1" applyFont="1" applyFill="1" applyBorder="1" applyAlignment="1" applyProtection="1">
      <alignment horizontal="center"/>
    </xf>
    <xf numFmtId="164" fontId="5" fillId="6" borderId="7" xfId="7" applyFont="1" applyFill="1" applyBorder="1" applyAlignment="1">
      <alignment horizontal="center"/>
    </xf>
    <xf numFmtId="170" fontId="16" fillId="0" borderId="6" xfId="7" applyNumberFormat="1" applyFont="1" applyFill="1" applyBorder="1" applyAlignment="1" applyProtection="1">
      <alignment horizontal="center"/>
    </xf>
    <xf numFmtId="171" fontId="5" fillId="0" borderId="13" xfId="7" applyNumberFormat="1" applyFont="1" applyFill="1" applyBorder="1" applyAlignment="1">
      <alignment horizontal="center"/>
    </xf>
    <xf numFmtId="172" fontId="5" fillId="0" borderId="13" xfId="7" applyNumberFormat="1" applyFont="1" applyFill="1" applyBorder="1" applyAlignment="1">
      <alignment horizontal="center"/>
    </xf>
    <xf numFmtId="1" fontId="5" fillId="0" borderId="13" xfId="7" applyNumberFormat="1" applyFont="1" applyFill="1" applyBorder="1" applyAlignment="1">
      <alignment horizontal="center"/>
    </xf>
    <xf numFmtId="164" fontId="5" fillId="0" borderId="0" xfId="7" applyFont="1" applyBorder="1" applyAlignment="1">
      <alignment horizontal="left" indent="2"/>
    </xf>
    <xf numFmtId="170" fontId="5" fillId="0" borderId="5" xfId="0" applyNumberFormat="1" applyFont="1" applyFill="1" applyBorder="1" applyAlignment="1" applyProtection="1">
      <alignment horizontal="center"/>
    </xf>
    <xf numFmtId="164" fontId="16" fillId="0" borderId="3" xfId="7" applyFont="1" applyFill="1" applyBorder="1"/>
    <xf numFmtId="164" fontId="16" fillId="0" borderId="4" xfId="7" applyFont="1" applyFill="1" applyBorder="1" applyAlignment="1">
      <alignment horizontal="right"/>
    </xf>
    <xf numFmtId="3" fontId="16" fillId="0" borderId="5" xfId="7" applyNumberFormat="1" applyFont="1" applyFill="1" applyBorder="1" applyAlignment="1">
      <alignment horizontal="center"/>
    </xf>
    <xf numFmtId="164" fontId="5" fillId="0" borderId="15" xfId="7" applyFont="1" applyBorder="1" applyAlignment="1">
      <alignment horizontal="right"/>
    </xf>
    <xf numFmtId="0" fontId="33" fillId="0" borderId="7" xfId="0" applyFont="1" applyBorder="1" applyAlignment="1">
      <alignment horizontal="center"/>
    </xf>
    <xf numFmtId="170" fontId="33" fillId="0" borderId="8" xfId="0" applyNumberFormat="1" applyFont="1" applyBorder="1" applyAlignment="1">
      <alignment horizontal="center"/>
    </xf>
    <xf numFmtId="3" fontId="2" fillId="0" borderId="8" xfId="0" applyNumberFormat="1" applyFont="1" applyBorder="1" applyAlignment="1">
      <alignment horizontal="center"/>
    </xf>
    <xf numFmtId="0" fontId="0" fillId="0" borderId="0" xfId="0" applyAlignment="1">
      <alignment horizontal="center"/>
    </xf>
    <xf numFmtId="0" fontId="5" fillId="0" borderId="5" xfId="0" applyFont="1" applyFill="1" applyBorder="1" applyAlignment="1">
      <alignment horizontal="left"/>
    </xf>
    <xf numFmtId="170" fontId="5" fillId="0" borderId="16" xfId="0" applyNumberFormat="1" applyFont="1" applyFill="1" applyBorder="1" applyAlignment="1">
      <alignment horizontal="right"/>
    </xf>
    <xf numFmtId="2" fontId="5" fillId="0" borderId="0" xfId="7" applyNumberFormat="1" applyFont="1" applyAlignment="1">
      <alignment horizontal="center"/>
    </xf>
    <xf numFmtId="170" fontId="5" fillId="0" borderId="0" xfId="7" applyNumberFormat="1" applyFont="1" applyAlignment="1">
      <alignment horizontal="center"/>
    </xf>
    <xf numFmtId="1" fontId="5" fillId="0" borderId="0" xfId="7" applyNumberFormat="1" applyFont="1" applyAlignment="1">
      <alignment horizontal="center"/>
    </xf>
    <xf numFmtId="164" fontId="16" fillId="0" borderId="0" xfId="7" applyFont="1"/>
    <xf numFmtId="49" fontId="6" fillId="2" borderId="3" xfId="7" applyNumberFormat="1" applyFont="1" applyFill="1" applyBorder="1" applyAlignment="1" applyProtection="1">
      <alignment horizontal="left"/>
    </xf>
    <xf numFmtId="164" fontId="16" fillId="0" borderId="0" xfId="7" applyFont="1" applyAlignment="1">
      <alignment horizontal="left"/>
    </xf>
    <xf numFmtId="164" fontId="10" fillId="0" borderId="0" xfId="7" applyFont="1" applyBorder="1" applyAlignment="1">
      <alignment horizontal="right" indent="1"/>
    </xf>
    <xf numFmtId="164" fontId="5" fillId="0" borderId="16" xfId="7" applyFont="1" applyBorder="1" applyAlignment="1"/>
    <xf numFmtId="164" fontId="6" fillId="0" borderId="0" xfId="7" applyFont="1" applyBorder="1" applyAlignment="1">
      <alignment horizontal="right"/>
    </xf>
    <xf numFmtId="164" fontId="5" fillId="0" borderId="6" xfId="7" applyFont="1" applyBorder="1" applyAlignment="1"/>
    <xf numFmtId="164" fontId="5" fillId="0" borderId="5" xfId="7" applyFont="1" applyBorder="1" applyAlignment="1">
      <alignment horizontal="left"/>
    </xf>
    <xf numFmtId="164" fontId="5" fillId="0" borderId="7" xfId="7" applyFont="1" applyBorder="1" applyAlignment="1"/>
    <xf numFmtId="164" fontId="5" fillId="0" borderId="3" xfId="7" applyFont="1" applyBorder="1" applyAlignment="1"/>
    <xf numFmtId="164" fontId="5" fillId="0" borderId="9" xfId="7" applyFont="1" applyBorder="1" applyAlignment="1"/>
    <xf numFmtId="164" fontId="5" fillId="0" borderId="4" xfId="7" applyFont="1" applyBorder="1" applyAlignment="1"/>
    <xf numFmtId="164" fontId="5" fillId="0" borderId="6" xfId="7" applyFont="1" applyBorder="1" applyAlignment="1">
      <alignment horizontal="left"/>
    </xf>
    <xf numFmtId="164" fontId="5" fillId="3" borderId="0" xfId="7" applyFont="1" applyFill="1"/>
    <xf numFmtId="164" fontId="8" fillId="0" borderId="12" xfId="7" applyFont="1" applyBorder="1"/>
    <xf numFmtId="3" fontId="41" fillId="3" borderId="5" xfId="0" applyNumberFormat="1" applyFont="1" applyFill="1" applyBorder="1" applyAlignment="1" applyProtection="1">
      <alignment horizontal="center"/>
    </xf>
    <xf numFmtId="3" fontId="5" fillId="0" borderId="6" xfId="7" applyNumberFormat="1" applyFont="1" applyBorder="1" applyAlignment="1">
      <alignment horizontal="center"/>
    </xf>
    <xf numFmtId="3" fontId="5" fillId="0" borderId="6" xfId="7" applyNumberFormat="1" applyFont="1" applyFill="1" applyBorder="1" applyAlignment="1">
      <alignment horizontal="center"/>
    </xf>
    <xf numFmtId="3" fontId="2" fillId="0" borderId="5" xfId="0" quotePrefix="1" applyNumberFormat="1" applyFont="1" applyFill="1" applyBorder="1" applyAlignment="1">
      <alignment horizontal="center"/>
    </xf>
    <xf numFmtId="3" fontId="5" fillId="0" borderId="11" xfId="7" quotePrefix="1" applyNumberFormat="1" applyFont="1" applyFill="1" applyBorder="1" applyAlignment="1">
      <alignment horizontal="center"/>
    </xf>
    <xf numFmtId="171" fontId="16" fillId="0" borderId="0" xfId="7" applyNumberFormat="1" applyFont="1" applyFill="1" applyBorder="1" applyAlignment="1">
      <alignment horizontal="right"/>
    </xf>
    <xf numFmtId="171" fontId="16" fillId="0" borderId="5" xfId="7" applyNumberFormat="1" applyFont="1" applyFill="1" applyBorder="1" applyAlignment="1">
      <alignment horizontal="center"/>
    </xf>
    <xf numFmtId="164" fontId="5" fillId="3" borderId="17" xfId="7" applyFont="1" applyFill="1" applyBorder="1" applyAlignment="1"/>
    <xf numFmtId="164" fontId="5" fillId="3" borderId="11" xfId="7" applyFont="1" applyFill="1" applyBorder="1" applyAlignment="1"/>
    <xf numFmtId="164" fontId="5" fillId="3" borderId="0" xfId="7" applyFont="1" applyFill="1" applyBorder="1" applyAlignment="1"/>
    <xf numFmtId="164" fontId="16" fillId="3" borderId="13" xfId="7" applyFont="1" applyFill="1" applyBorder="1" applyAlignment="1">
      <alignment horizontal="center"/>
    </xf>
    <xf numFmtId="164" fontId="5" fillId="3" borderId="0" xfId="7" applyFont="1" applyFill="1" applyBorder="1" applyAlignment="1">
      <alignment horizontal="left"/>
    </xf>
    <xf numFmtId="3" fontId="5" fillId="3" borderId="0" xfId="7" applyNumberFormat="1" applyFont="1" applyFill="1" applyBorder="1" applyAlignment="1">
      <alignment horizontal="center"/>
    </xf>
    <xf numFmtId="164" fontId="5" fillId="3" borderId="16" xfId="7" applyFont="1" applyFill="1" applyBorder="1" applyAlignment="1">
      <alignment horizontal="left"/>
    </xf>
    <xf numFmtId="3" fontId="5" fillId="3" borderId="16" xfId="7" applyNumberFormat="1" applyFont="1" applyFill="1" applyBorder="1" applyAlignment="1">
      <alignment horizontal="center"/>
    </xf>
    <xf numFmtId="0" fontId="11" fillId="0" borderId="15" xfId="0" applyFont="1" applyBorder="1" applyAlignment="1">
      <alignment horizontal="center" vertical="top"/>
    </xf>
    <xf numFmtId="164" fontId="16" fillId="0" borderId="10" xfId="7" applyFont="1" applyBorder="1" applyAlignment="1">
      <alignment horizontal="center"/>
    </xf>
    <xf numFmtId="164" fontId="16" fillId="0" borderId="12" xfId="7" applyFont="1" applyBorder="1" applyAlignment="1">
      <alignment horizontal="center"/>
    </xf>
    <xf numFmtId="164" fontId="16" fillId="0" borderId="14" xfId="7" applyFont="1" applyBorder="1" applyAlignment="1">
      <alignment horizontal="center"/>
    </xf>
    <xf numFmtId="0" fontId="6" fillId="0" borderId="0" xfId="0" applyFont="1" applyBorder="1" applyProtection="1"/>
    <xf numFmtId="170" fontId="5" fillId="0" borderId="16" xfId="0" applyNumberFormat="1" applyFont="1" applyBorder="1" applyAlignment="1">
      <alignment horizontal="left" vertical="top"/>
    </xf>
    <xf numFmtId="0" fontId="5" fillId="0" borderId="16" xfId="0" applyFont="1" applyBorder="1" applyAlignment="1">
      <alignment horizontal="right" vertical="top"/>
    </xf>
    <xf numFmtId="0" fontId="5" fillId="0" borderId="16" xfId="0" applyFont="1" applyBorder="1" applyAlignment="1">
      <alignment horizontal="left" vertical="top"/>
    </xf>
    <xf numFmtId="0" fontId="51" fillId="0" borderId="16" xfId="0" applyFont="1" applyBorder="1" applyAlignment="1">
      <alignment horizontal="right"/>
    </xf>
    <xf numFmtId="0" fontId="51" fillId="0" borderId="15" xfId="0" applyFont="1" applyBorder="1" applyAlignment="1">
      <alignment horizontal="left"/>
    </xf>
    <xf numFmtId="0" fontId="51" fillId="0" borderId="16" xfId="0" applyFont="1" applyBorder="1" applyAlignment="1">
      <alignment horizontal="center"/>
    </xf>
    <xf numFmtId="2" fontId="51" fillId="0" borderId="16" xfId="0" applyNumberFormat="1" applyFont="1" applyBorder="1" applyAlignment="1">
      <alignment horizontal="left"/>
    </xf>
    <xf numFmtId="3" fontId="5" fillId="0" borderId="0" xfId="7" applyNumberFormat="1" applyFont="1" applyAlignment="1">
      <alignment horizontal="center"/>
    </xf>
    <xf numFmtId="3" fontId="5" fillId="0" borderId="7" xfId="7" applyNumberFormat="1" applyFont="1" applyBorder="1" applyAlignment="1">
      <alignment horizontal="center"/>
    </xf>
    <xf numFmtId="3" fontId="16" fillId="0" borderId="5" xfId="7" applyNumberFormat="1" applyFont="1" applyBorder="1" applyAlignment="1">
      <alignment horizontal="center"/>
    </xf>
    <xf numFmtId="3" fontId="7" fillId="2" borderId="8" xfId="0" applyNumberFormat="1" applyFont="1" applyFill="1" applyBorder="1" applyAlignment="1">
      <alignment horizontal="center"/>
    </xf>
    <xf numFmtId="3" fontId="7" fillId="3" borderId="8" xfId="0" applyNumberFormat="1" applyFont="1" applyFill="1" applyBorder="1" applyAlignment="1">
      <alignment horizontal="center"/>
    </xf>
    <xf numFmtId="3" fontId="6" fillId="2" borderId="10" xfId="0" applyNumberFormat="1" applyFont="1" applyFill="1" applyBorder="1" applyAlignment="1" applyProtection="1">
      <alignment horizontal="center"/>
      <protection locked="0"/>
    </xf>
    <xf numFmtId="3" fontId="5" fillId="0" borderId="10" xfId="0" applyNumberFormat="1" applyFont="1" applyFill="1" applyBorder="1" applyAlignment="1" applyProtection="1">
      <alignment horizontal="center"/>
    </xf>
    <xf numFmtId="3" fontId="5" fillId="0" borderId="3" xfId="0" applyNumberFormat="1" applyFont="1" applyFill="1" applyBorder="1" applyAlignment="1" applyProtection="1">
      <alignment horizontal="center"/>
    </xf>
    <xf numFmtId="3" fontId="5" fillId="1" borderId="3" xfId="0" applyNumberFormat="1" applyFont="1" applyFill="1" applyBorder="1" applyAlignment="1" applyProtection="1">
      <alignment horizontal="center"/>
    </xf>
    <xf numFmtId="3" fontId="5" fillId="1" borderId="5" xfId="0" applyNumberFormat="1" applyFont="1" applyFill="1" applyBorder="1" applyAlignment="1" applyProtection="1">
      <alignment horizontal="center"/>
    </xf>
    <xf numFmtId="175" fontId="5" fillId="0" borderId="5" xfId="0" applyNumberFormat="1" applyFont="1" applyFill="1" applyBorder="1" applyAlignment="1">
      <alignment horizontal="center"/>
    </xf>
    <xf numFmtId="175" fontId="6" fillId="2" borderId="5" xfId="0" applyNumberFormat="1" applyFont="1" applyFill="1" applyBorder="1" applyAlignment="1">
      <alignment horizontal="center"/>
    </xf>
    <xf numFmtId="170" fontId="16" fillId="0" borderId="1" xfId="7" applyNumberFormat="1" applyFont="1" applyFill="1" applyBorder="1" applyAlignment="1">
      <alignment horizontal="center"/>
    </xf>
    <xf numFmtId="170" fontId="6" fillId="2" borderId="5" xfId="7" applyNumberFormat="1" applyFont="1" applyFill="1" applyBorder="1" applyAlignment="1">
      <alignment horizontal="left"/>
    </xf>
    <xf numFmtId="164" fontId="16" fillId="0" borderId="0" xfId="7" applyFont="1" applyBorder="1" applyAlignment="1">
      <alignment horizontal="left"/>
    </xf>
    <xf numFmtId="164" fontId="16" fillId="0" borderId="0" xfId="7" applyFont="1" applyBorder="1"/>
    <xf numFmtId="170" fontId="5" fillId="0" borderId="6" xfId="7" applyNumberFormat="1" applyFont="1" applyFill="1" applyBorder="1" applyAlignment="1">
      <alignment horizontal="center"/>
    </xf>
    <xf numFmtId="170" fontId="16" fillId="0" borderId="0" xfId="7" applyNumberFormat="1" applyFont="1" applyAlignment="1">
      <alignment horizontal="left"/>
    </xf>
    <xf numFmtId="0" fontId="2" fillId="0" borderId="0" xfId="0" applyFont="1" applyAlignment="1">
      <alignment horizontal="right"/>
    </xf>
    <xf numFmtId="170" fontId="6" fillId="7" borderId="5" xfId="7" applyNumberFormat="1" applyFont="1" applyFill="1" applyBorder="1" applyAlignment="1">
      <alignment horizontal="center"/>
    </xf>
    <xf numFmtId="3" fontId="6" fillId="7" borderId="5" xfId="7" applyNumberFormat="1" applyFont="1" applyFill="1" applyBorder="1" applyAlignment="1">
      <alignment horizontal="center"/>
    </xf>
    <xf numFmtId="0" fontId="2" fillId="0" borderId="0" xfId="0" applyFont="1" applyFill="1" applyBorder="1" applyAlignment="1">
      <alignment horizontal="right"/>
    </xf>
    <xf numFmtId="0" fontId="2" fillId="0" borderId="13" xfId="0" applyFont="1" applyFill="1" applyBorder="1" applyAlignment="1">
      <alignment horizontal="right"/>
    </xf>
    <xf numFmtId="0" fontId="7" fillId="2" borderId="5" xfId="0" applyFont="1" applyFill="1" applyBorder="1" applyAlignment="1">
      <alignment horizontal="center"/>
    </xf>
    <xf numFmtId="0" fontId="2" fillId="0" borderId="10" xfId="0" applyFont="1" applyBorder="1" applyAlignment="1">
      <alignment horizontal="left" vertical="top"/>
    </xf>
    <xf numFmtId="0" fontId="2" fillId="0" borderId="17" xfId="0" applyFont="1" applyBorder="1" applyAlignment="1">
      <alignment horizontal="left" vertical="top"/>
    </xf>
    <xf numFmtId="0" fontId="2" fillId="0" borderId="11" xfId="0" applyFont="1" applyBorder="1" applyAlignment="1"/>
    <xf numFmtId="0" fontId="2" fillId="0" borderId="12" xfId="0" applyFont="1" applyBorder="1" applyAlignment="1"/>
    <xf numFmtId="0" fontId="2" fillId="0" borderId="13" xfId="0" applyFont="1" applyBorder="1" applyAlignment="1"/>
    <xf numFmtId="0" fontId="2" fillId="0" borderId="15" xfId="0" applyFont="1" applyBorder="1" applyAlignment="1"/>
    <xf numFmtId="0" fontId="7" fillId="2" borderId="3" xfId="0" applyNumberFormat="1" applyFont="1" applyFill="1" applyBorder="1" applyAlignment="1">
      <alignment horizontal="left"/>
    </xf>
    <xf numFmtId="3" fontId="6" fillId="0" borderId="5" xfId="7" applyNumberFormat="1" applyFont="1" applyFill="1" applyBorder="1" applyAlignment="1" applyProtection="1">
      <alignment horizontal="center"/>
    </xf>
    <xf numFmtId="3" fontId="6" fillId="0" borderId="5" xfId="7" applyNumberFormat="1" applyFont="1" applyFill="1" applyBorder="1" applyAlignment="1">
      <alignment horizontal="center"/>
    </xf>
    <xf numFmtId="1" fontId="6" fillId="0" borderId="5" xfId="7" applyNumberFormat="1" applyFont="1" applyFill="1" applyBorder="1" applyAlignment="1">
      <alignment horizontal="center"/>
    </xf>
    <xf numFmtId="2" fontId="5" fillId="0" borderId="5" xfId="7" quotePrefix="1" applyNumberFormat="1" applyFont="1" applyFill="1" applyBorder="1" applyAlignment="1">
      <alignment horizontal="center"/>
    </xf>
    <xf numFmtId="2" fontId="6" fillId="2" borderId="5" xfId="7" quotePrefix="1" applyNumberFormat="1" applyFont="1" applyFill="1" applyBorder="1" applyAlignment="1">
      <alignment horizontal="center"/>
    </xf>
    <xf numFmtId="171" fontId="6" fillId="6" borderId="5" xfId="7" applyNumberFormat="1" applyFont="1" applyFill="1" applyBorder="1" applyAlignment="1">
      <alignment horizontal="center"/>
    </xf>
    <xf numFmtId="4" fontId="5" fillId="0" borderId="5" xfId="7" quotePrefix="1" applyNumberFormat="1" applyFont="1" applyFill="1" applyBorder="1" applyAlignment="1" applyProtection="1">
      <alignment horizontal="center"/>
    </xf>
    <xf numFmtId="2" fontId="5" fillId="0" borderId="5" xfId="7" quotePrefix="1" applyNumberFormat="1" applyFont="1" applyFill="1" applyBorder="1" applyAlignment="1" applyProtection="1">
      <alignment horizontal="center"/>
    </xf>
    <xf numFmtId="164" fontId="16" fillId="0" borderId="0" xfId="7" applyFont="1" applyBorder="1" applyAlignment="1">
      <alignment horizontal="center"/>
    </xf>
    <xf numFmtId="0" fontId="0" fillId="0" borderId="0" xfId="0" applyAlignment="1">
      <alignment horizontal="left"/>
    </xf>
    <xf numFmtId="164" fontId="16" fillId="0" borderId="0" xfId="7" applyFont="1" applyAlignment="1">
      <alignment horizontal="center"/>
    </xf>
    <xf numFmtId="49" fontId="5" fillId="0" borderId="5" xfId="7" applyNumberFormat="1" applyFont="1" applyFill="1" applyBorder="1" applyAlignment="1" applyProtection="1">
      <alignment horizontal="center"/>
    </xf>
    <xf numFmtId="3" fontId="5" fillId="0" borderId="4" xfId="7" applyNumberFormat="1" applyFont="1" applyFill="1" applyBorder="1" applyAlignment="1" applyProtection="1">
      <alignment horizontal="center"/>
    </xf>
    <xf numFmtId="3" fontId="5" fillId="0" borderId="8" xfId="7" applyNumberFormat="1" applyFont="1" applyFill="1" applyBorder="1" applyAlignment="1">
      <alignment horizontal="center"/>
    </xf>
    <xf numFmtId="173" fontId="5" fillId="0" borderId="4" xfId="7" applyNumberFormat="1" applyFont="1" applyFill="1" applyBorder="1" applyAlignment="1" applyProtection="1">
      <alignment horizontal="center"/>
    </xf>
    <xf numFmtId="170" fontId="16" fillId="0" borderId="5" xfId="7" applyNumberFormat="1" applyFont="1" applyFill="1" applyBorder="1" applyAlignment="1">
      <alignment horizontal="center"/>
    </xf>
    <xf numFmtId="170" fontId="6" fillId="3" borderId="0" xfId="7" applyNumberFormat="1" applyFont="1" applyFill="1" applyBorder="1" applyAlignment="1">
      <alignment horizontal="center"/>
    </xf>
    <xf numFmtId="170" fontId="6" fillId="3" borderId="16" xfId="7" applyNumberFormat="1" applyFont="1" applyFill="1" applyBorder="1" applyAlignment="1">
      <alignment horizontal="center"/>
    </xf>
    <xf numFmtId="170" fontId="16" fillId="3" borderId="5" xfId="7" applyNumberFormat="1" applyFont="1" applyFill="1" applyBorder="1" applyAlignment="1">
      <alignment horizontal="center"/>
    </xf>
    <xf numFmtId="164" fontId="8" fillId="0" borderId="14" xfId="7" applyFont="1" applyBorder="1"/>
    <xf numFmtId="164" fontId="6" fillId="0" borderId="14" xfId="7" applyFont="1" applyBorder="1"/>
    <xf numFmtId="1" fontId="16" fillId="0" borderId="5" xfId="7" applyNumberFormat="1" applyFont="1" applyFill="1" applyBorder="1" applyAlignment="1">
      <alignment horizontal="center"/>
    </xf>
    <xf numFmtId="164" fontId="5" fillId="0" borderId="4" xfId="7" applyFont="1" applyBorder="1" applyAlignment="1">
      <alignment horizontal="center"/>
    </xf>
    <xf numFmtId="170" fontId="16" fillId="0" borderId="4" xfId="7" applyNumberFormat="1" applyFont="1" applyFill="1" applyBorder="1" applyAlignment="1" applyProtection="1">
      <alignment horizontal="center"/>
    </xf>
    <xf numFmtId="164" fontId="16" fillId="0" borderId="5" xfId="7" applyFont="1" applyFill="1" applyBorder="1" applyAlignment="1">
      <alignment horizontal="center"/>
    </xf>
    <xf numFmtId="164" fontId="5" fillId="0" borderId="8" xfId="7" applyFont="1" applyFill="1" applyBorder="1"/>
    <xf numFmtId="3" fontId="5" fillId="0" borderId="11" xfId="7" applyNumberFormat="1" applyFont="1" applyFill="1" applyBorder="1" applyAlignment="1" applyProtection="1">
      <alignment horizontal="center"/>
    </xf>
    <xf numFmtId="3" fontId="16" fillId="0" borderId="0" xfId="7" applyNumberFormat="1" applyFont="1" applyAlignment="1">
      <alignment horizontal="center"/>
    </xf>
    <xf numFmtId="4" fontId="6" fillId="0" borderId="0" xfId="7" applyNumberFormat="1" applyFont="1" applyFill="1" applyBorder="1" applyAlignment="1">
      <alignment horizontal="center"/>
    </xf>
    <xf numFmtId="164" fontId="16" fillId="3" borderId="10" xfId="7" applyFont="1" applyFill="1" applyBorder="1" applyAlignment="1">
      <alignment horizontal="center"/>
    </xf>
    <xf numFmtId="164" fontId="16" fillId="3" borderId="17" xfId="7" applyFont="1" applyFill="1" applyBorder="1" applyAlignment="1">
      <alignment horizontal="center"/>
    </xf>
    <xf numFmtId="49" fontId="16" fillId="3" borderId="12" xfId="7" applyNumberFormat="1" applyFont="1" applyFill="1" applyBorder="1" applyAlignment="1" applyProtection="1">
      <alignment horizontal="center"/>
    </xf>
    <xf numFmtId="49" fontId="16" fillId="3" borderId="0" xfId="7" applyNumberFormat="1" applyFont="1" applyFill="1" applyBorder="1" applyAlignment="1" applyProtection="1">
      <alignment horizontal="center"/>
    </xf>
    <xf numFmtId="164" fontId="16" fillId="3" borderId="12" xfId="7" applyFont="1" applyFill="1" applyBorder="1" applyAlignment="1">
      <alignment horizontal="center"/>
    </xf>
    <xf numFmtId="164" fontId="16" fillId="3" borderId="0" xfId="7" applyFont="1" applyFill="1" applyBorder="1" applyAlignment="1">
      <alignment horizontal="center"/>
    </xf>
    <xf numFmtId="2" fontId="16" fillId="3" borderId="14" xfId="7" applyNumberFormat="1" applyFont="1" applyFill="1" applyBorder="1" applyAlignment="1" applyProtection="1">
      <alignment horizontal="center"/>
    </xf>
    <xf numFmtId="164" fontId="5" fillId="3" borderId="11" xfId="7" applyFont="1" applyFill="1" applyBorder="1" applyAlignment="1">
      <alignment horizontal="center"/>
    </xf>
    <xf numFmtId="164" fontId="5" fillId="3" borderId="13" xfId="7" applyFont="1" applyFill="1" applyBorder="1" applyAlignment="1">
      <alignment horizontal="center"/>
    </xf>
    <xf numFmtId="3" fontId="5" fillId="3" borderId="15" xfId="7" applyNumberFormat="1" applyFont="1" applyFill="1" applyBorder="1" applyAlignment="1" applyProtection="1">
      <alignment horizontal="center"/>
    </xf>
    <xf numFmtId="164" fontId="16" fillId="3" borderId="11" xfId="7" applyFont="1" applyFill="1" applyBorder="1" applyAlignment="1">
      <alignment horizontal="center"/>
    </xf>
    <xf numFmtId="2" fontId="16" fillId="3" borderId="16" xfId="7" applyNumberFormat="1" applyFont="1" applyFill="1" applyBorder="1" applyAlignment="1" applyProtection="1">
      <alignment horizontal="center"/>
    </xf>
    <xf numFmtId="2" fontId="5" fillId="3" borderId="15" xfId="7" quotePrefix="1" applyNumberFormat="1" applyFont="1" applyFill="1" applyBorder="1" applyAlignment="1" applyProtection="1">
      <alignment horizontal="center"/>
    </xf>
    <xf numFmtId="3" fontId="5" fillId="3" borderId="14" xfId="7" applyNumberFormat="1" applyFont="1" applyFill="1" applyBorder="1" applyAlignment="1" applyProtection="1">
      <alignment horizontal="center"/>
    </xf>
    <xf numFmtId="1" fontId="6" fillId="3" borderId="16" xfId="7" applyNumberFormat="1" applyFont="1" applyFill="1" applyBorder="1" applyAlignment="1" applyProtection="1">
      <alignment horizontal="center"/>
    </xf>
    <xf numFmtId="171" fontId="5" fillId="3" borderId="16" xfId="7" quotePrefix="1" applyNumberFormat="1" applyFont="1" applyFill="1" applyBorder="1" applyAlignment="1" applyProtection="1">
      <alignment horizontal="center"/>
    </xf>
    <xf numFmtId="164" fontId="31" fillId="0" borderId="8" xfId="7" applyFont="1" applyBorder="1" applyAlignment="1">
      <alignment horizontal="center"/>
    </xf>
    <xf numFmtId="0" fontId="15" fillId="0" borderId="5" xfId="0" applyFont="1" applyBorder="1" applyAlignment="1">
      <alignment horizontal="center"/>
    </xf>
    <xf numFmtId="0" fontId="15" fillId="0" borderId="5" xfId="0" applyFont="1" applyBorder="1" applyAlignment="1">
      <alignment horizontal="center" wrapText="1"/>
    </xf>
    <xf numFmtId="0" fontId="15" fillId="0" borderId="6" xfId="0" applyFont="1" applyBorder="1" applyAlignment="1">
      <alignment horizontal="center"/>
    </xf>
    <xf numFmtId="0" fontId="15" fillId="0" borderId="14" xfId="0" applyFont="1" applyBorder="1" applyAlignment="1">
      <alignment horizontal="center"/>
    </xf>
    <xf numFmtId="0" fontId="49" fillId="0" borderId="16" xfId="0" applyFont="1" applyBorder="1" applyAlignment="1">
      <alignment horizontal="center"/>
    </xf>
    <xf numFmtId="0" fontId="49" fillId="0" borderId="15" xfId="0" applyFont="1" applyBorder="1" applyAlignment="1">
      <alignment horizontal="center"/>
    </xf>
    <xf numFmtId="0" fontId="15" fillId="0" borderId="8" xfId="0" applyFont="1" applyBorder="1" applyAlignment="1">
      <alignment horizontal="center"/>
    </xf>
    <xf numFmtId="0" fontId="15" fillId="0" borderId="16" xfId="0" applyFont="1" applyFill="1" applyBorder="1" applyAlignment="1">
      <alignment horizontal="right"/>
    </xf>
    <xf numFmtId="1" fontId="15" fillId="0" borderId="16" xfId="0" applyNumberFormat="1" applyFont="1" applyFill="1" applyBorder="1" applyAlignment="1">
      <alignment horizontal="left" indent="1"/>
    </xf>
    <xf numFmtId="2" fontId="15" fillId="0" borderId="16" xfId="0" applyNumberFormat="1" applyFont="1" applyFill="1" applyBorder="1" applyAlignment="1">
      <alignment horizontal="left" indent="1"/>
    </xf>
    <xf numFmtId="164" fontId="15" fillId="0" borderId="17" xfId="7" applyFont="1" applyBorder="1" applyAlignment="1">
      <alignment horizontal="center"/>
    </xf>
    <xf numFmtId="164" fontId="15" fillId="0" borderId="11" xfId="7" applyFont="1" applyBorder="1" applyAlignment="1">
      <alignment horizontal="center"/>
    </xf>
    <xf numFmtId="1" fontId="15" fillId="0" borderId="0" xfId="7" applyNumberFormat="1" applyFont="1" applyBorder="1" applyAlignment="1">
      <alignment horizontal="center"/>
    </xf>
    <xf numFmtId="164" fontId="15" fillId="0" borderId="16" xfId="7" applyFont="1" applyFill="1" applyBorder="1" applyAlignment="1">
      <alignment horizontal="right"/>
    </xf>
    <xf numFmtId="1" fontId="15" fillId="0" borderId="16" xfId="7" applyNumberFormat="1" applyFont="1" applyFill="1" applyBorder="1" applyAlignment="1">
      <alignment horizontal="left" indent="1"/>
    </xf>
    <xf numFmtId="175" fontId="5" fillId="0" borderId="5" xfId="7" applyNumberFormat="1" applyFont="1" applyFill="1" applyBorder="1" applyAlignment="1">
      <alignment horizontal="center"/>
    </xf>
    <xf numFmtId="175" fontId="5" fillId="0" borderId="6" xfId="7" applyNumberFormat="1" applyFont="1" applyFill="1" applyBorder="1" applyAlignment="1">
      <alignment horizontal="center"/>
    </xf>
    <xf numFmtId="164" fontId="5" fillId="3" borderId="3" xfId="7" applyFont="1" applyFill="1" applyBorder="1"/>
    <xf numFmtId="164" fontId="5" fillId="3" borderId="4" xfId="7" applyFont="1" applyFill="1" applyBorder="1"/>
    <xf numFmtId="4" fontId="6" fillId="2" borderId="5" xfId="7" applyNumberFormat="1" applyFont="1" applyFill="1" applyBorder="1" applyAlignment="1">
      <alignment horizontal="center"/>
    </xf>
    <xf numFmtId="170" fontId="5" fillId="0" borderId="5" xfId="0" applyNumberFormat="1" applyFont="1" applyFill="1" applyBorder="1" applyAlignment="1">
      <alignment horizontal="left"/>
    </xf>
    <xf numFmtId="164" fontId="26" fillId="0" borderId="0" xfId="7" applyFont="1" applyAlignment="1">
      <alignment horizontal="center"/>
    </xf>
    <xf numFmtId="1" fontId="7" fillId="2" borderId="4" xfId="0" applyNumberFormat="1" applyFont="1" applyFill="1" applyBorder="1" applyAlignment="1">
      <alignment horizontal="center" vertical="center"/>
    </xf>
    <xf numFmtId="172" fontId="2" fillId="0" borderId="13" xfId="0" applyNumberFormat="1" applyFont="1" applyBorder="1" applyAlignment="1">
      <alignment horizontal="center" vertical="center"/>
    </xf>
    <xf numFmtId="172" fontId="6" fillId="2" borderId="11" xfId="7" applyNumberFormat="1" applyFont="1" applyFill="1" applyBorder="1" applyAlignment="1">
      <alignment horizontal="center" vertical="center"/>
    </xf>
    <xf numFmtId="171" fontId="5" fillId="0" borderId="0" xfId="7" applyNumberFormat="1" applyFont="1" applyFill="1" applyBorder="1" applyAlignment="1">
      <alignment horizontal="right"/>
    </xf>
    <xf numFmtId="1" fontId="26" fillId="0" borderId="5" xfId="7" applyNumberFormat="1" applyFont="1" applyFill="1" applyBorder="1" applyAlignment="1">
      <alignment horizontal="center"/>
    </xf>
    <xf numFmtId="0" fontId="0" fillId="0" borderId="0" xfId="0" applyAlignment="1">
      <alignment horizontal="left" vertical="top"/>
    </xf>
    <xf numFmtId="0" fontId="52" fillId="0" borderId="0" xfId="0" applyFont="1" applyBorder="1" applyAlignment="1">
      <alignment horizontal="left"/>
    </xf>
    <xf numFmtId="164" fontId="26" fillId="0" borderId="0" xfId="7" applyFont="1"/>
    <xf numFmtId="164" fontId="26" fillId="0" borderId="0" xfId="7" applyFont="1" applyAlignment="1">
      <alignment horizontal="left"/>
    </xf>
    <xf numFmtId="164" fontId="53" fillId="0" borderId="11" xfId="7" applyFont="1" applyBorder="1" applyAlignment="1">
      <alignment horizontal="center"/>
    </xf>
    <xf numFmtId="164" fontId="53" fillId="0" borderId="6" xfId="7" applyFont="1" applyBorder="1" applyAlignment="1">
      <alignment horizontal="center"/>
    </xf>
    <xf numFmtId="164" fontId="53" fillId="0" borderId="0" xfId="7" applyFont="1" applyAlignment="1">
      <alignment horizontal="center"/>
    </xf>
    <xf numFmtId="3" fontId="26" fillId="0" borderId="5" xfId="7" applyNumberFormat="1" applyFont="1" applyFill="1" applyBorder="1" applyAlignment="1">
      <alignment horizontal="center"/>
    </xf>
    <xf numFmtId="164" fontId="26" fillId="0" borderId="13" xfId="7" applyFont="1" applyBorder="1" applyAlignment="1">
      <alignment horizontal="right"/>
    </xf>
    <xf numFmtId="18" fontId="15" fillId="0" borderId="0" xfId="0" applyNumberFormat="1" applyFont="1" applyFill="1" applyAlignment="1">
      <alignment horizontal="center"/>
    </xf>
    <xf numFmtId="18" fontId="15" fillId="0" borderId="5" xfId="0" applyNumberFormat="1" applyFont="1" applyFill="1" applyBorder="1" applyAlignment="1">
      <alignment horizontal="center"/>
    </xf>
    <xf numFmtId="18" fontId="15" fillId="0" borderId="16" xfId="0" applyNumberFormat="1" applyFont="1" applyFill="1" applyBorder="1" applyAlignment="1">
      <alignment horizontal="left" indent="1"/>
    </xf>
    <xf numFmtId="18" fontId="15" fillId="0" borderId="16" xfId="0" applyNumberFormat="1" applyFont="1" applyFill="1" applyBorder="1" applyAlignment="1">
      <alignment horizontal="center"/>
    </xf>
    <xf numFmtId="18" fontId="15" fillId="0" borderId="13" xfId="7" applyNumberFormat="1" applyFont="1" applyBorder="1" applyAlignment="1">
      <alignment horizontal="center"/>
    </xf>
    <xf numFmtId="18" fontId="15" fillId="0" borderId="16" xfId="7" applyNumberFormat="1" applyFont="1" applyFill="1" applyBorder="1" applyAlignment="1">
      <alignment horizontal="center"/>
    </xf>
    <xf numFmtId="0" fontId="11" fillId="0" borderId="0" xfId="0" applyFont="1" applyFill="1" applyBorder="1"/>
    <xf numFmtId="9" fontId="6" fillId="2" borderId="5" xfId="0" applyNumberFormat="1" applyFont="1" applyFill="1" applyBorder="1" applyAlignment="1">
      <alignment horizontal="center"/>
    </xf>
    <xf numFmtId="9" fontId="5" fillId="0" borderId="5" xfId="7" applyNumberFormat="1" applyFont="1" applyFill="1" applyBorder="1" applyAlignment="1">
      <alignment horizontal="center"/>
    </xf>
    <xf numFmtId="0" fontId="56" fillId="2" borderId="3" xfId="0" applyFont="1" applyFill="1" applyBorder="1" applyAlignment="1">
      <alignment horizontal="left"/>
    </xf>
    <xf numFmtId="0" fontId="30" fillId="0" borderId="9" xfId="0" applyFont="1" applyBorder="1" applyAlignment="1">
      <alignment horizontal="left"/>
    </xf>
    <xf numFmtId="0" fontId="30" fillId="0" borderId="4" xfId="0" applyFont="1" applyBorder="1" applyAlignment="1">
      <alignment horizontal="left"/>
    </xf>
    <xf numFmtId="164" fontId="6" fillId="0" borderId="3" xfId="7" applyFont="1" applyBorder="1" applyAlignment="1">
      <alignment horizontal="left" indent="1"/>
    </xf>
    <xf numFmtId="3" fontId="6" fillId="2" borderId="3" xfId="7" applyNumberFormat="1" applyFont="1" applyFill="1" applyBorder="1" applyAlignment="1">
      <alignment horizontal="center"/>
    </xf>
    <xf numFmtId="3" fontId="5" fillId="0" borderId="14" xfId="7" applyNumberFormat="1" applyFont="1" applyBorder="1" applyAlignment="1">
      <alignment horizontal="center" vertical="center"/>
    </xf>
    <xf numFmtId="3" fontId="5" fillId="0" borderId="5" xfId="7" applyNumberFormat="1" applyFont="1" applyBorder="1" applyAlignment="1">
      <alignment horizontal="center" vertical="center"/>
    </xf>
    <xf numFmtId="0" fontId="0" fillId="0" borderId="17" xfId="0" applyBorder="1" applyAlignment="1">
      <alignment horizontal="center" vertical="center"/>
    </xf>
    <xf numFmtId="3" fontId="6" fillId="0" borderId="0" xfId="7" applyNumberFormat="1" applyFont="1" applyFill="1" applyBorder="1" applyAlignment="1">
      <alignment horizontal="center"/>
    </xf>
    <xf numFmtId="168" fontId="6" fillId="2" borderId="10" xfId="0" applyNumberFormat="1" applyFont="1" applyFill="1" applyBorder="1" applyAlignment="1" applyProtection="1">
      <alignment horizontal="center"/>
      <protection locked="0"/>
    </xf>
    <xf numFmtId="4" fontId="6" fillId="2" borderId="5" xfId="7" applyNumberFormat="1" applyFont="1" applyFill="1" applyBorder="1" applyAlignment="1" applyProtection="1">
      <alignment horizontal="center"/>
    </xf>
    <xf numFmtId="164" fontId="14" fillId="3" borderId="17" xfId="7" applyFill="1" applyBorder="1" applyAlignment="1">
      <alignment horizontal="center"/>
    </xf>
    <xf numFmtId="164" fontId="14" fillId="3" borderId="11" xfId="7" applyFill="1" applyBorder="1" applyAlignment="1">
      <alignment horizontal="center"/>
    </xf>
    <xf numFmtId="1" fontId="5" fillId="3" borderId="14" xfId="7" applyNumberFormat="1" applyFont="1" applyFill="1" applyBorder="1" applyAlignment="1" applyProtection="1">
      <alignment horizontal="center"/>
    </xf>
    <xf numFmtId="0" fontId="20" fillId="0" borderId="6" xfId="0" applyFont="1" applyBorder="1" applyAlignment="1">
      <alignment horizontal="center" vertical="top" wrapText="1"/>
    </xf>
    <xf numFmtId="0" fontId="20" fillId="0" borderId="7" xfId="0" applyFont="1" applyBorder="1" applyAlignment="1">
      <alignment horizontal="center" vertical="top" wrapText="1"/>
    </xf>
    <xf numFmtId="0" fontId="20" fillId="0" borderId="8" xfId="0" applyFont="1" applyBorder="1" applyAlignment="1">
      <alignment horizontal="center" vertical="top" wrapText="1"/>
    </xf>
    <xf numFmtId="3" fontId="20" fillId="0" borderId="5" xfId="0" applyNumberFormat="1" applyFont="1" applyFill="1" applyBorder="1" applyAlignment="1">
      <alignment horizontal="center"/>
    </xf>
    <xf numFmtId="0" fontId="2" fillId="0" borderId="11" xfId="0" applyFont="1" applyFill="1" applyBorder="1" applyAlignment="1">
      <alignment horizontal="center"/>
    </xf>
    <xf numFmtId="0" fontId="2" fillId="0" borderId="13" xfId="0" applyFont="1" applyFill="1" applyBorder="1" applyAlignment="1">
      <alignment horizontal="center"/>
    </xf>
    <xf numFmtId="0" fontId="0" fillId="3" borderId="0" xfId="0" applyFill="1"/>
    <xf numFmtId="0" fontId="0" fillId="0" borderId="5" xfId="0" applyBorder="1"/>
    <xf numFmtId="0" fontId="0" fillId="5" borderId="5" xfId="0" applyFill="1" applyBorder="1" applyAlignment="1">
      <alignment horizontal="center"/>
    </xf>
    <xf numFmtId="18" fontId="58" fillId="0" borderId="5" xfId="0" applyNumberFormat="1" applyFont="1" applyBorder="1"/>
    <xf numFmtId="0" fontId="58" fillId="5" borderId="5" xfId="0" applyFont="1" applyFill="1" applyBorder="1" applyAlignment="1">
      <alignment horizontal="center"/>
    </xf>
    <xf numFmtId="1" fontId="0" fillId="0" borderId="5" xfId="0" applyNumberFormat="1" applyBorder="1"/>
    <xf numFmtId="0" fontId="0" fillId="5" borderId="5" xfId="0" applyFill="1" applyBorder="1"/>
    <xf numFmtId="176" fontId="7" fillId="2" borderId="5" xfId="0" applyNumberFormat="1" applyFont="1" applyFill="1" applyBorder="1" applyAlignment="1">
      <alignment horizontal="center"/>
    </xf>
    <xf numFmtId="0" fontId="0" fillId="0" borderId="0" xfId="0" applyBorder="1" applyAlignment="1">
      <alignment horizontal="left"/>
    </xf>
    <xf numFmtId="0" fontId="0" fillId="0" borderId="11" xfId="0" applyBorder="1"/>
    <xf numFmtId="0" fontId="0" fillId="0" borderId="12" xfId="0" applyBorder="1"/>
    <xf numFmtId="0" fontId="0" fillId="0" borderId="0" xfId="0" applyBorder="1"/>
    <xf numFmtId="0" fontId="0" fillId="0" borderId="13" xfId="0" applyBorder="1"/>
    <xf numFmtId="0" fontId="0" fillId="0" borderId="14" xfId="0" applyBorder="1"/>
    <xf numFmtId="0" fontId="0" fillId="0" borderId="16" xfId="0" applyBorder="1"/>
    <xf numFmtId="0" fontId="0" fillId="0" borderId="15" xfId="0" applyBorder="1"/>
    <xf numFmtId="2" fontId="2" fillId="0" borderId="6" xfId="0" applyNumberFormat="1" applyFont="1" applyFill="1" applyBorder="1" applyAlignment="1">
      <alignment horizontal="center" vertical="center"/>
    </xf>
    <xf numFmtId="0" fontId="6" fillId="2" borderId="5" xfId="0" applyNumberFormat="1" applyFont="1" applyFill="1" applyBorder="1" applyAlignment="1">
      <alignment horizontal="left" wrapText="1"/>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applyAlignment="1">
      <alignment horizontal="left"/>
    </xf>
    <xf numFmtId="0" fontId="0" fillId="0" borderId="26" xfId="0" applyBorder="1"/>
    <xf numFmtId="0" fontId="0" fillId="0" borderId="27" xfId="0" applyBorder="1"/>
    <xf numFmtId="0" fontId="0" fillId="0" borderId="10" xfId="0" applyBorder="1"/>
    <xf numFmtId="0" fontId="0" fillId="0" borderId="17" xfId="0" applyBorder="1"/>
    <xf numFmtId="0" fontId="0" fillId="0" borderId="0" xfId="0" applyFill="1" applyBorder="1"/>
    <xf numFmtId="176" fontId="0" fillId="0" borderId="23" xfId="0" applyNumberFormat="1" applyBorder="1" applyAlignment="1">
      <alignment horizontal="left"/>
    </xf>
    <xf numFmtId="0" fontId="0" fillId="0" borderId="5" xfId="0" applyBorder="1" applyAlignment="1">
      <alignment horizontal="center"/>
    </xf>
    <xf numFmtId="0" fontId="59" fillId="0" borderId="0" xfId="0" applyFont="1"/>
    <xf numFmtId="174" fontId="0" fillId="0" borderId="0" xfId="0" applyNumberFormat="1"/>
    <xf numFmtId="170" fontId="5" fillId="0" borderId="6" xfId="0" applyNumberFormat="1" applyFont="1" applyFill="1" applyBorder="1" applyAlignment="1">
      <alignment horizontal="center" vertical="center"/>
    </xf>
    <xf numFmtId="0" fontId="0" fillId="0" borderId="0" xfId="0" quotePrefix="1"/>
    <xf numFmtId="0" fontId="0" fillId="8" borderId="28" xfId="0" applyFill="1" applyBorder="1" applyAlignment="1">
      <alignment horizontal="center"/>
    </xf>
    <xf numFmtId="170" fontId="5" fillId="0" borderId="0" xfId="0" applyNumberFormat="1" applyFont="1"/>
    <xf numFmtId="170" fontId="5" fillId="0" borderId="5" xfId="0" applyNumberFormat="1" applyFont="1" applyFill="1" applyBorder="1" applyAlignment="1">
      <alignment horizontal="center" vertical="center"/>
    </xf>
    <xf numFmtId="0" fontId="2" fillId="3" borderId="0" xfId="0" applyFont="1" applyFill="1"/>
    <xf numFmtId="1" fontId="5" fillId="0" borderId="0" xfId="0" applyNumberFormat="1" applyFont="1"/>
    <xf numFmtId="1" fontId="5" fillId="0" borderId="0" xfId="0" quotePrefix="1" applyNumberFormat="1" applyFont="1"/>
    <xf numFmtId="0" fontId="2" fillId="5" borderId="5" xfId="0" applyFont="1" applyFill="1" applyBorder="1" applyAlignment="1">
      <alignment horizontal="center"/>
    </xf>
    <xf numFmtId="3" fontId="2" fillId="0" borderId="29" xfId="0" applyNumberFormat="1" applyFont="1" applyBorder="1" applyAlignment="1">
      <alignment horizontal="center"/>
    </xf>
    <xf numFmtId="3" fontId="2" fillId="0" borderId="29" xfId="0" applyNumberFormat="1" applyFont="1" applyFill="1" applyBorder="1" applyAlignment="1">
      <alignment horizontal="center"/>
    </xf>
    <xf numFmtId="3" fontId="2" fillId="0" borderId="30" xfId="0" applyNumberFormat="1" applyFont="1" applyBorder="1" applyAlignment="1">
      <alignment horizontal="center"/>
    </xf>
    <xf numFmtId="3" fontId="5" fillId="0" borderId="0" xfId="0" applyNumberFormat="1" applyFont="1" applyFill="1"/>
    <xf numFmtId="3" fontId="0" fillId="0" borderId="0" xfId="0" applyNumberFormat="1"/>
    <xf numFmtId="0" fontId="5" fillId="2" borderId="5" xfId="0" applyFont="1" applyFill="1" applyBorder="1" applyAlignment="1">
      <alignment horizontal="center"/>
    </xf>
    <xf numFmtId="0" fontId="30" fillId="5" borderId="5" xfId="0" applyFont="1" applyFill="1" applyBorder="1"/>
    <xf numFmtId="0" fontId="34" fillId="5" borderId="5" xfId="0" applyFont="1" applyFill="1" applyBorder="1"/>
    <xf numFmtId="0" fontId="61" fillId="0" borderId="0" xfId="0" applyFont="1"/>
    <xf numFmtId="0" fontId="2" fillId="0" borderId="4" xfId="0" applyFont="1" applyFill="1" applyBorder="1" applyAlignment="1"/>
    <xf numFmtId="171" fontId="2" fillId="0" borderId="6" xfId="0" applyNumberFormat="1" applyFont="1" applyFill="1" applyBorder="1" applyAlignment="1">
      <alignment horizontal="center"/>
    </xf>
    <xf numFmtId="0" fontId="2" fillId="5" borderId="31" xfId="0" applyFont="1" applyFill="1" applyBorder="1" applyAlignment="1">
      <alignment horizontal="center"/>
    </xf>
    <xf numFmtId="0" fontId="2" fillId="5" borderId="29" xfId="0" applyFont="1" applyFill="1" applyBorder="1" applyAlignment="1">
      <alignment horizontal="center"/>
    </xf>
    <xf numFmtId="0" fontId="5" fillId="0" borderId="30" xfId="0" applyFont="1" applyBorder="1" applyAlignment="1">
      <alignment horizontal="center"/>
    </xf>
    <xf numFmtId="0" fontId="5" fillId="0" borderId="32" xfId="0" applyFont="1" applyBorder="1" applyAlignment="1">
      <alignment horizontal="center"/>
    </xf>
    <xf numFmtId="1" fontId="2" fillId="5" borderId="5" xfId="0" applyNumberFormat="1" applyFont="1" applyFill="1" applyBorder="1" applyAlignment="1">
      <alignment horizontal="center"/>
    </xf>
    <xf numFmtId="0" fontId="2" fillId="9" borderId="31" xfId="0" applyFont="1" applyFill="1" applyBorder="1" applyAlignment="1">
      <alignment horizontal="center"/>
    </xf>
    <xf numFmtId="0" fontId="2" fillId="0" borderId="9" xfId="0" applyFont="1" applyBorder="1" applyAlignment="1"/>
    <xf numFmtId="0" fontId="30" fillId="5" borderId="0" xfId="0" applyFont="1" applyFill="1" applyBorder="1"/>
    <xf numFmtId="2" fontId="21" fillId="6" borderId="5" xfId="0" applyNumberFormat="1" applyFont="1" applyFill="1" applyBorder="1" applyAlignment="1">
      <alignment horizontal="center"/>
    </xf>
    <xf numFmtId="0" fontId="21" fillId="6" borderId="5" xfId="0" applyNumberFormat="1" applyFont="1" applyFill="1" applyBorder="1" applyAlignment="1">
      <alignment horizontal="center"/>
    </xf>
    <xf numFmtId="171" fontId="21" fillId="6" borderId="5" xfId="0" applyNumberFormat="1" applyFont="1" applyFill="1" applyBorder="1" applyAlignment="1">
      <alignment horizontal="center"/>
    </xf>
    <xf numFmtId="2" fontId="2" fillId="0" borderId="33" xfId="0" applyNumberFormat="1" applyFont="1" applyFill="1" applyBorder="1" applyAlignment="1">
      <alignment horizontal="center"/>
    </xf>
    <xf numFmtId="3" fontId="2" fillId="0" borderId="33" xfId="0" applyNumberFormat="1" applyFont="1" applyBorder="1" applyAlignment="1">
      <alignment horizontal="center"/>
    </xf>
    <xf numFmtId="2" fontId="2" fillId="0" borderId="30" xfId="0" applyNumberFormat="1" applyFont="1" applyFill="1" applyBorder="1" applyAlignment="1">
      <alignment horizontal="center"/>
    </xf>
    <xf numFmtId="0" fontId="65" fillId="3" borderId="0" xfId="0" applyFont="1" applyFill="1"/>
    <xf numFmtId="0" fontId="2" fillId="3" borderId="0" xfId="0" applyFont="1" applyFill="1" applyAlignment="1">
      <alignment horizontal="center"/>
    </xf>
    <xf numFmtId="0" fontId="2" fillId="9" borderId="29" xfId="0" applyFont="1" applyFill="1" applyBorder="1"/>
    <xf numFmtId="0" fontId="2" fillId="9" borderId="29" xfId="0" applyFont="1" applyFill="1" applyBorder="1" applyAlignment="1">
      <alignment horizontal="center"/>
    </xf>
    <xf numFmtId="0" fontId="2" fillId="0" borderId="17" xfId="0" applyFont="1" applyBorder="1" applyAlignment="1"/>
    <xf numFmtId="3" fontId="2" fillId="1" borderId="34" xfId="0" applyNumberFormat="1" applyFont="1" applyFill="1" applyBorder="1" applyAlignment="1"/>
    <xf numFmtId="3" fontId="2" fillId="1" borderId="35" xfId="0" applyNumberFormat="1" applyFont="1" applyFill="1" applyBorder="1" applyAlignment="1"/>
    <xf numFmtId="3" fontId="2" fillId="1" borderId="36" xfId="0" applyNumberFormat="1" applyFont="1" applyFill="1" applyBorder="1" applyAlignment="1"/>
    <xf numFmtId="3" fontId="2" fillId="1" borderId="29" xfId="0" applyNumberFormat="1" applyFont="1" applyFill="1" applyBorder="1" applyAlignment="1">
      <alignment horizontal="center"/>
    </xf>
    <xf numFmtId="3" fontId="2" fillId="1" borderId="31" xfId="0" applyNumberFormat="1" applyFont="1" applyFill="1" applyBorder="1" applyAlignment="1"/>
    <xf numFmtId="0" fontId="2" fillId="9" borderId="15" xfId="0" applyFont="1" applyFill="1" applyBorder="1" applyAlignment="1"/>
    <xf numFmtId="0" fontId="7" fillId="6" borderId="3" xfId="0" applyFont="1" applyFill="1" applyBorder="1" applyAlignment="1">
      <alignment horizontal="left"/>
    </xf>
    <xf numFmtId="0" fontId="7" fillId="6" borderId="4" xfId="0" applyNumberFormat="1" applyFont="1" applyFill="1" applyBorder="1" applyAlignment="1">
      <alignment horizontal="center"/>
    </xf>
    <xf numFmtId="0" fontId="2" fillId="3" borderId="0" xfId="0" applyFont="1" applyFill="1" applyBorder="1" applyAlignment="1">
      <alignment horizontal="center"/>
    </xf>
    <xf numFmtId="0" fontId="2" fillId="3" borderId="24" xfId="0" applyFont="1" applyFill="1" applyBorder="1" applyAlignment="1">
      <alignment horizontal="center"/>
    </xf>
    <xf numFmtId="0" fontId="2" fillId="3" borderId="26" xfId="0" applyFont="1" applyFill="1" applyBorder="1" applyAlignment="1">
      <alignment horizontal="center"/>
    </xf>
    <xf numFmtId="0" fontId="2" fillId="3" borderId="27" xfId="0" applyFont="1" applyFill="1" applyBorder="1" applyAlignment="1">
      <alignment horizontal="center"/>
    </xf>
    <xf numFmtId="0" fontId="2" fillId="3" borderId="0" xfId="0" applyFont="1" applyFill="1" applyBorder="1"/>
    <xf numFmtId="0" fontId="2" fillId="9" borderId="23" xfId="0" applyFont="1" applyFill="1" applyBorder="1"/>
    <xf numFmtId="0" fontId="2" fillId="9" borderId="0" xfId="0" applyFont="1" applyFill="1" applyBorder="1"/>
    <xf numFmtId="0" fontId="2" fillId="9" borderId="24" xfId="0" applyFont="1" applyFill="1" applyBorder="1"/>
    <xf numFmtId="0" fontId="2" fillId="9" borderId="25" xfId="0" applyFont="1" applyFill="1" applyBorder="1"/>
    <xf numFmtId="0" fontId="2" fillId="9" borderId="26" xfId="0" applyFont="1" applyFill="1" applyBorder="1"/>
    <xf numFmtId="0" fontId="2" fillId="9" borderId="27" xfId="0" applyFont="1" applyFill="1" applyBorder="1"/>
    <xf numFmtId="0" fontId="2" fillId="9" borderId="20" xfId="0" applyFont="1" applyFill="1" applyBorder="1"/>
    <xf numFmtId="0" fontId="2" fillId="9" borderId="21" xfId="0" applyFont="1" applyFill="1" applyBorder="1"/>
    <xf numFmtId="0" fontId="2" fillId="9" borderId="22" xfId="0" applyFont="1" applyFill="1" applyBorder="1"/>
    <xf numFmtId="0" fontId="2" fillId="0" borderId="6" xfId="0" applyFont="1" applyBorder="1" applyAlignment="1"/>
    <xf numFmtId="0" fontId="2" fillId="5" borderId="6" xfId="0" applyFont="1" applyFill="1" applyBorder="1" applyAlignment="1">
      <alignment horizontal="center"/>
    </xf>
    <xf numFmtId="0" fontId="2" fillId="5" borderId="13" xfId="0" applyFont="1" applyFill="1" applyBorder="1" applyAlignment="1">
      <alignment horizontal="center"/>
    </xf>
    <xf numFmtId="0" fontId="2" fillId="9" borderId="16" xfId="0" applyFont="1" applyFill="1" applyBorder="1" applyAlignment="1"/>
    <xf numFmtId="1" fontId="2" fillId="3" borderId="0" xfId="0" applyNumberFormat="1" applyFont="1" applyFill="1"/>
    <xf numFmtId="0" fontId="2" fillId="9" borderId="16" xfId="0" applyFont="1" applyFill="1" applyBorder="1" applyAlignment="1">
      <alignment horizontal="center" vertical="center"/>
    </xf>
    <xf numFmtId="0" fontId="2" fillId="9" borderId="15" xfId="0" applyFont="1" applyFill="1" applyBorder="1" applyAlignment="1">
      <alignment horizontal="center" vertical="center"/>
    </xf>
    <xf numFmtId="0" fontId="2" fillId="9" borderId="14" xfId="0" applyFont="1" applyFill="1" applyBorder="1" applyAlignment="1">
      <alignment horizontal="center" vertical="center"/>
    </xf>
    <xf numFmtId="0" fontId="0" fillId="0" borderId="29" xfId="0" applyBorder="1"/>
    <xf numFmtId="0" fontId="0" fillId="0" borderId="37" xfId="0" applyFill="1" applyBorder="1"/>
    <xf numFmtId="0" fontId="0" fillId="5" borderId="38" xfId="0" applyFill="1" applyBorder="1"/>
    <xf numFmtId="0" fontId="0" fillId="5" borderId="33" xfId="0" applyFill="1" applyBorder="1"/>
    <xf numFmtId="0" fontId="0" fillId="5" borderId="39" xfId="0" applyFill="1" applyBorder="1"/>
    <xf numFmtId="2" fontId="0" fillId="5" borderId="37" xfId="0" applyNumberFormat="1" applyFill="1" applyBorder="1"/>
    <xf numFmtId="2" fontId="0" fillId="5" borderId="5" xfId="0" applyNumberFormat="1" applyFill="1" applyBorder="1"/>
    <xf numFmtId="2" fontId="0" fillId="5" borderId="29" xfId="0" applyNumberFormat="1" applyFill="1" applyBorder="1"/>
    <xf numFmtId="2" fontId="0" fillId="5" borderId="40" xfId="0" applyNumberFormat="1" applyFill="1" applyBorder="1"/>
    <xf numFmtId="2" fontId="0" fillId="5" borderId="30" xfId="0" applyNumberFormat="1" applyFill="1" applyBorder="1"/>
    <xf numFmtId="2" fontId="0" fillId="5" borderId="32" xfId="0" applyNumberFormat="1" applyFill="1" applyBorder="1"/>
    <xf numFmtId="0" fontId="0" fillId="5" borderId="0" xfId="0" applyFill="1"/>
    <xf numFmtId="0" fontId="2" fillId="5" borderId="4" xfId="0" applyFont="1" applyFill="1" applyBorder="1" applyAlignment="1">
      <alignment horizontal="center"/>
    </xf>
    <xf numFmtId="170" fontId="17" fillId="4" borderId="0" xfId="6" applyNumberFormat="1" applyFont="1" applyFill="1" applyBorder="1" applyAlignment="1" applyProtection="1">
      <alignment horizontal="left" vertical="center"/>
    </xf>
    <xf numFmtId="1" fontId="17" fillId="4" borderId="0" xfId="6" quotePrefix="1" applyNumberFormat="1" applyFont="1" applyFill="1" applyBorder="1" applyAlignment="1" applyProtection="1">
      <alignment horizontal="left" vertical="center"/>
    </xf>
    <xf numFmtId="0" fontId="17" fillId="4" borderId="0" xfId="6" quotePrefix="1" applyFont="1" applyFill="1" applyBorder="1" applyAlignment="1">
      <alignment horizontal="left"/>
    </xf>
    <xf numFmtId="0" fontId="6" fillId="0" borderId="0" xfId="6" applyFont="1" applyBorder="1" applyAlignment="1">
      <alignment horizontal="left"/>
    </xf>
    <xf numFmtId="0" fontId="5" fillId="0" borderId="0" xfId="6" applyFont="1" applyBorder="1" applyAlignment="1">
      <alignment horizontal="left"/>
    </xf>
    <xf numFmtId="0" fontId="6" fillId="0" borderId="0" xfId="6" applyFont="1" applyFill="1" applyBorder="1" applyAlignment="1">
      <alignment horizontal="left"/>
    </xf>
    <xf numFmtId="0" fontId="5" fillId="0" borderId="0" xfId="6" applyFont="1" applyFill="1" applyBorder="1" applyAlignment="1">
      <alignment horizontal="left"/>
    </xf>
    <xf numFmtId="170" fontId="17" fillId="0" borderId="0" xfId="6" applyNumberFormat="1" applyFont="1" applyFill="1" applyBorder="1" applyAlignment="1" applyProtection="1">
      <alignment horizontal="left" vertical="center"/>
    </xf>
    <xf numFmtId="0" fontId="6" fillId="4" borderId="0" xfId="6" applyFont="1" applyFill="1" applyBorder="1" applyAlignment="1">
      <alignment horizontal="left"/>
    </xf>
    <xf numFmtId="0" fontId="6" fillId="0" borderId="0" xfId="6" quotePrefix="1" applyFont="1" applyFill="1" applyBorder="1" applyAlignment="1">
      <alignment horizontal="left"/>
    </xf>
    <xf numFmtId="0" fontId="6" fillId="4" borderId="0" xfId="6" quotePrefix="1" applyFont="1" applyFill="1" applyBorder="1" applyAlignment="1">
      <alignment horizontal="left"/>
    </xf>
    <xf numFmtId="0" fontId="17" fillId="0" borderId="0" xfId="6" applyFont="1" applyBorder="1" applyAlignment="1">
      <alignment horizontal="left"/>
    </xf>
    <xf numFmtId="0" fontId="17" fillId="0" borderId="0" xfId="6" applyFont="1" applyFill="1" applyBorder="1" applyAlignment="1">
      <alignment horizontal="left"/>
    </xf>
    <xf numFmtId="1" fontId="17" fillId="4" borderId="0" xfId="6" applyNumberFormat="1" applyFont="1" applyFill="1" applyBorder="1" applyAlignment="1" applyProtection="1">
      <alignment horizontal="left" vertical="center"/>
    </xf>
    <xf numFmtId="1" fontId="17" fillId="0" borderId="0" xfId="6" applyNumberFormat="1" applyFont="1" applyFill="1" applyBorder="1" applyAlignment="1" applyProtection="1">
      <alignment horizontal="left" vertical="center"/>
    </xf>
    <xf numFmtId="170" fontId="17" fillId="4" borderId="0" xfId="6" applyNumberFormat="1" applyFont="1" applyFill="1" applyBorder="1" applyAlignment="1">
      <alignment horizontal="left" vertical="center"/>
    </xf>
    <xf numFmtId="170" fontId="17" fillId="0" borderId="0" xfId="6" applyNumberFormat="1" applyFont="1" applyFill="1" applyBorder="1" applyAlignment="1">
      <alignment horizontal="left" vertical="center"/>
    </xf>
    <xf numFmtId="170" fontId="17" fillId="0" borderId="0" xfId="6" quotePrefix="1" applyNumberFormat="1" applyFont="1" applyFill="1" applyBorder="1" applyAlignment="1" applyProtection="1">
      <alignment horizontal="left" vertical="center"/>
    </xf>
    <xf numFmtId="170" fontId="17" fillId="4" borderId="0" xfId="6" quotePrefix="1" applyNumberFormat="1" applyFont="1" applyFill="1" applyBorder="1" applyAlignment="1" applyProtection="1">
      <alignment horizontal="left" vertical="center"/>
    </xf>
    <xf numFmtId="0" fontId="5" fillId="4" borderId="0" xfId="6" applyFont="1" applyFill="1" applyBorder="1" applyAlignment="1">
      <alignment horizontal="left"/>
    </xf>
    <xf numFmtId="0" fontId="5" fillId="0" borderId="0" xfId="6" applyFont="1" applyFill="1" applyBorder="1" applyAlignment="1">
      <alignment horizontal="left" vertical="center"/>
    </xf>
    <xf numFmtId="0" fontId="2" fillId="0" borderId="0" xfId="6" applyFont="1" applyFill="1" applyBorder="1" applyAlignment="1">
      <alignment horizontal="left" vertical="center"/>
    </xf>
    <xf numFmtId="0" fontId="5" fillId="4" borderId="0" xfId="6" applyFont="1" applyFill="1" applyBorder="1" applyAlignment="1">
      <alignment horizontal="left" vertical="center"/>
    </xf>
    <xf numFmtId="0" fontId="2" fillId="0" borderId="0" xfId="6" applyFont="1" applyBorder="1" applyAlignment="1">
      <alignment horizontal="left" vertical="center"/>
    </xf>
    <xf numFmtId="0" fontId="2" fillId="0" borderId="0" xfId="6" applyFont="1" applyBorder="1" applyAlignment="1">
      <alignment horizontal="left"/>
    </xf>
    <xf numFmtId="49" fontId="5" fillId="0" borderId="0" xfId="6" applyNumberFormat="1" applyFont="1" applyFill="1" applyBorder="1" applyAlignment="1" applyProtection="1">
      <alignment horizontal="left" vertical="top"/>
    </xf>
    <xf numFmtId="0" fontId="2" fillId="0" borderId="0" xfId="6" applyFont="1" applyFill="1" applyBorder="1" applyAlignment="1">
      <alignment horizontal="left"/>
    </xf>
    <xf numFmtId="0" fontId="17" fillId="0" borderId="0" xfId="6" applyFont="1" applyFill="1" applyBorder="1" applyAlignment="1">
      <alignment horizontal="left" vertical="center"/>
    </xf>
    <xf numFmtId="0" fontId="6" fillId="0" borderId="0" xfId="6" applyFont="1" applyFill="1" applyBorder="1" applyAlignment="1">
      <alignment horizontal="left" vertical="center"/>
    </xf>
    <xf numFmtId="0" fontId="5" fillId="0" borderId="0" xfId="6" applyFont="1" applyFill="1" applyBorder="1" applyAlignment="1">
      <alignment horizontal="left" vertical="top"/>
    </xf>
    <xf numFmtId="49" fontId="5" fillId="4" borderId="0" xfId="6" applyNumberFormat="1" applyFont="1" applyFill="1" applyBorder="1" applyAlignment="1" applyProtection="1">
      <alignment horizontal="left" vertical="top"/>
    </xf>
    <xf numFmtId="0" fontId="17" fillId="4" borderId="0" xfId="6" applyFont="1" applyFill="1" applyBorder="1" applyAlignment="1">
      <alignment horizontal="left" vertical="center"/>
    </xf>
    <xf numFmtId="0" fontId="6" fillId="4" borderId="0" xfId="6" applyFont="1" applyFill="1" applyBorder="1" applyAlignment="1">
      <alignment horizontal="left" vertical="center"/>
    </xf>
    <xf numFmtId="0" fontId="5" fillId="0" borderId="0" xfId="6" applyFont="1" applyBorder="1" applyAlignment="1">
      <alignment horizontal="left" vertical="top"/>
    </xf>
    <xf numFmtId="49" fontId="5" fillId="0" borderId="0" xfId="6" applyNumberFormat="1" applyFont="1" applyFill="1" applyBorder="1" applyAlignment="1">
      <alignment horizontal="left" vertical="top"/>
    </xf>
    <xf numFmtId="170" fontId="6" fillId="0" borderId="0" xfId="6" applyNumberFormat="1" applyFont="1" applyFill="1" applyBorder="1" applyAlignment="1" applyProtection="1">
      <alignment horizontal="left" vertical="center"/>
    </xf>
    <xf numFmtId="49" fontId="5" fillId="0" borderId="0" xfId="6" applyNumberFormat="1" applyFont="1" applyBorder="1" applyAlignment="1">
      <alignment horizontal="left" vertical="top"/>
    </xf>
    <xf numFmtId="170" fontId="6" fillId="4" borderId="0" xfId="6" applyNumberFormat="1" applyFont="1" applyFill="1" applyBorder="1" applyAlignment="1" applyProtection="1">
      <alignment horizontal="left" vertical="center"/>
    </xf>
    <xf numFmtId="0" fontId="17" fillId="4" borderId="0" xfId="6" applyFont="1" applyFill="1" applyBorder="1" applyAlignment="1">
      <alignment horizontal="left"/>
    </xf>
    <xf numFmtId="0" fontId="66" fillId="4" borderId="0" xfId="6" applyFont="1" applyFill="1" applyBorder="1" applyAlignment="1">
      <alignment horizontal="left"/>
    </xf>
    <xf numFmtId="170" fontId="5" fillId="0" borderId="0" xfId="6" applyNumberFormat="1" applyFont="1" applyBorder="1" applyAlignment="1">
      <alignment horizontal="left" vertical="center"/>
    </xf>
    <xf numFmtId="0" fontId="66" fillId="0" borderId="0" xfId="6" applyFont="1" applyBorder="1" applyAlignment="1">
      <alignment horizontal="left"/>
    </xf>
    <xf numFmtId="170" fontId="5" fillId="0" borderId="0" xfId="6" applyNumberFormat="1" applyFont="1" applyFill="1" applyBorder="1" applyAlignment="1">
      <alignment horizontal="left" vertical="center"/>
    </xf>
    <xf numFmtId="170" fontId="5" fillId="0" borderId="0" xfId="6" applyNumberFormat="1" applyFont="1" applyBorder="1" applyAlignment="1" applyProtection="1">
      <alignment horizontal="left" vertical="center"/>
    </xf>
    <xf numFmtId="0" fontId="5" fillId="0" borderId="0" xfId="6" applyFont="1" applyBorder="1" applyAlignment="1">
      <alignment horizontal="left" vertical="center"/>
    </xf>
    <xf numFmtId="170" fontId="5" fillId="0" borderId="0" xfId="6" applyNumberFormat="1" applyFont="1" applyFill="1" applyBorder="1" applyAlignment="1" applyProtection="1">
      <alignment horizontal="left" vertical="center"/>
    </xf>
    <xf numFmtId="3" fontId="17" fillId="0" borderId="0" xfId="6" applyNumberFormat="1" applyFont="1" applyFill="1" applyBorder="1" applyAlignment="1" applyProtection="1">
      <alignment horizontal="left" vertical="center"/>
    </xf>
    <xf numFmtId="171" fontId="17" fillId="4" borderId="0" xfId="6" applyNumberFormat="1" applyFont="1" applyFill="1" applyBorder="1" applyAlignment="1" applyProtection="1">
      <alignment horizontal="left" vertical="center"/>
    </xf>
    <xf numFmtId="3" fontId="17" fillId="4" borderId="0" xfId="6" applyNumberFormat="1" applyFont="1" applyFill="1" applyBorder="1" applyAlignment="1" applyProtection="1">
      <alignment horizontal="left" vertical="center"/>
    </xf>
    <xf numFmtId="171" fontId="17" fillId="0" borderId="0" xfId="6" applyNumberFormat="1" applyFont="1" applyFill="1" applyBorder="1" applyAlignment="1" applyProtection="1">
      <alignment horizontal="left" vertical="center"/>
    </xf>
    <xf numFmtId="0" fontId="27" fillId="0" borderId="0" xfId="0" applyFont="1" applyFill="1" applyBorder="1" applyAlignment="1">
      <alignment horizontal="left"/>
    </xf>
    <xf numFmtId="1" fontId="17" fillId="4" borderId="0" xfId="6" quotePrefix="1" applyNumberFormat="1" applyFont="1" applyFill="1" applyBorder="1" applyAlignment="1">
      <alignment horizontal="left" vertical="center"/>
    </xf>
    <xf numFmtId="2" fontId="2" fillId="0" borderId="0" xfId="6" applyNumberFormat="1" applyFont="1" applyFill="1" applyBorder="1" applyAlignment="1">
      <alignment horizontal="left"/>
    </xf>
    <xf numFmtId="1" fontId="17" fillId="0" borderId="0" xfId="6" quotePrefix="1" applyNumberFormat="1" applyFont="1" applyFill="1" applyBorder="1" applyAlignment="1">
      <alignment horizontal="left" vertical="center"/>
    </xf>
    <xf numFmtId="2" fontId="17" fillId="0" borderId="0" xfId="6" applyNumberFormat="1" applyFont="1" applyFill="1" applyBorder="1" applyAlignment="1" applyProtection="1">
      <alignment horizontal="left" vertical="center"/>
    </xf>
    <xf numFmtId="2" fontId="17" fillId="4" borderId="0" xfId="6" applyNumberFormat="1" applyFont="1" applyFill="1" applyBorder="1" applyAlignment="1" applyProtection="1">
      <alignment horizontal="left" vertical="center"/>
    </xf>
    <xf numFmtId="0" fontId="2" fillId="0" borderId="0" xfId="0" applyFont="1" applyFill="1" applyBorder="1" applyAlignment="1">
      <alignment horizontal="left"/>
    </xf>
    <xf numFmtId="0" fontId="8" fillId="0" borderId="0" xfId="6" applyFont="1" applyBorder="1" applyAlignment="1">
      <alignment horizontal="left"/>
    </xf>
    <xf numFmtId="0" fontId="8" fillId="0" borderId="0" xfId="6" applyFont="1" applyFill="1" applyBorder="1" applyAlignment="1">
      <alignment horizontal="left"/>
    </xf>
    <xf numFmtId="2" fontId="5" fillId="0" borderId="0" xfId="6" applyNumberFormat="1" applyFont="1" applyFill="1" applyBorder="1" applyAlignment="1">
      <alignment horizontal="left" vertical="center"/>
    </xf>
    <xf numFmtId="2" fontId="5" fillId="0" borderId="0" xfId="6" applyNumberFormat="1" applyFont="1" applyBorder="1" applyAlignment="1">
      <alignment horizontal="left"/>
    </xf>
    <xf numFmtId="0" fontId="67" fillId="0" borderId="0" xfId="6" quotePrefix="1" applyFont="1" applyBorder="1" applyAlignment="1">
      <alignment horizontal="left"/>
    </xf>
    <xf numFmtId="171" fontId="5" fillId="4" borderId="0" xfId="6" applyNumberFormat="1" applyFont="1" applyFill="1" applyBorder="1" applyAlignment="1">
      <alignment horizontal="left"/>
    </xf>
    <xf numFmtId="171" fontId="5" fillId="0" borderId="0" xfId="6" applyNumberFormat="1" applyFont="1" applyFill="1" applyBorder="1" applyAlignment="1">
      <alignment horizontal="left" vertical="center"/>
    </xf>
    <xf numFmtId="3" fontId="17" fillId="4" borderId="0" xfId="6" applyNumberFormat="1" applyFont="1" applyFill="1" applyBorder="1" applyAlignment="1">
      <alignment horizontal="left"/>
    </xf>
    <xf numFmtId="3" fontId="5" fillId="0" borderId="0" xfId="6" applyNumberFormat="1" applyFont="1" applyFill="1" applyBorder="1" applyAlignment="1">
      <alignment horizontal="left" vertical="center"/>
    </xf>
    <xf numFmtId="1" fontId="5" fillId="0" borderId="0" xfId="6" applyNumberFormat="1" applyFont="1" applyFill="1" applyBorder="1" applyAlignment="1" applyProtection="1">
      <alignment horizontal="left" vertical="center"/>
    </xf>
    <xf numFmtId="171" fontId="5" fillId="4" borderId="0" xfId="6" applyNumberFormat="1" applyFont="1" applyFill="1" applyBorder="1" applyAlignment="1" applyProtection="1">
      <alignment horizontal="left" vertical="center"/>
    </xf>
    <xf numFmtId="0" fontId="2" fillId="5" borderId="3" xfId="0" applyFont="1" applyFill="1" applyBorder="1" applyAlignment="1">
      <alignment horizontal="left"/>
    </xf>
    <xf numFmtId="0" fontId="2" fillId="5" borderId="4" xfId="0" applyFont="1" applyFill="1" applyBorder="1" applyAlignment="1">
      <alignment horizontal="left"/>
    </xf>
    <xf numFmtId="0" fontId="2" fillId="9" borderId="21" xfId="0" applyFont="1" applyFill="1" applyBorder="1" applyAlignment="1">
      <alignment horizontal="center" vertical="center"/>
    </xf>
    <xf numFmtId="0" fontId="2" fillId="9" borderId="0" xfId="0" applyFont="1" applyFill="1" applyBorder="1" applyAlignment="1">
      <alignment horizontal="center" vertical="center"/>
    </xf>
    <xf numFmtId="0" fontId="2" fillId="9" borderId="26" xfId="0" applyFont="1" applyFill="1" applyBorder="1" applyAlignment="1">
      <alignment horizontal="center" vertical="center"/>
    </xf>
    <xf numFmtId="170" fontId="2" fillId="5" borderId="5" xfId="0" applyNumberFormat="1" applyFont="1" applyFill="1" applyBorder="1" applyAlignment="1">
      <alignment horizontal="center"/>
    </xf>
    <xf numFmtId="0" fontId="2" fillId="5" borderId="5" xfId="0" applyFont="1" applyFill="1" applyBorder="1" applyAlignment="1">
      <alignment horizontal="left"/>
    </xf>
    <xf numFmtId="3" fontId="2" fillId="5" borderId="5" xfId="0" applyNumberFormat="1" applyFont="1" applyFill="1" applyBorder="1" applyAlignment="1">
      <alignment horizontal="left"/>
    </xf>
    <xf numFmtId="3" fontId="2" fillId="5" borderId="5" xfId="0" applyNumberFormat="1" applyFont="1" applyFill="1" applyBorder="1" applyAlignment="1">
      <alignment horizontal="center"/>
    </xf>
    <xf numFmtId="2" fontId="2" fillId="0" borderId="0" xfId="0" applyNumberFormat="1" applyFont="1" applyBorder="1" applyAlignment="1">
      <alignment horizontal="left"/>
    </xf>
    <xf numFmtId="170" fontId="2" fillId="0" borderId="0" xfId="0" applyNumberFormat="1" applyFont="1" applyBorder="1" applyAlignment="1">
      <alignment horizontal="left"/>
    </xf>
    <xf numFmtId="0" fontId="2" fillId="3" borderId="24" xfId="0" applyFont="1" applyFill="1" applyBorder="1"/>
    <xf numFmtId="0" fontId="2" fillId="3" borderId="26" xfId="0" applyFont="1" applyFill="1" applyBorder="1"/>
    <xf numFmtId="0" fontId="2" fillId="3" borderId="27" xfId="0" applyFont="1" applyFill="1" applyBorder="1"/>
    <xf numFmtId="0" fontId="2" fillId="3" borderId="20" xfId="0" applyFont="1" applyFill="1" applyBorder="1"/>
    <xf numFmtId="0" fontId="2" fillId="3" borderId="21" xfId="0" applyFont="1" applyFill="1" applyBorder="1"/>
    <xf numFmtId="0" fontId="2" fillId="3" borderId="22" xfId="0" applyFont="1" applyFill="1" applyBorder="1"/>
    <xf numFmtId="0" fontId="2" fillId="3" borderId="23" xfId="0" applyFont="1" applyFill="1" applyBorder="1"/>
    <xf numFmtId="0" fontId="2" fillId="3" borderId="25" xfId="0" applyFont="1" applyFill="1" applyBorder="1"/>
    <xf numFmtId="0" fontId="2" fillId="3" borderId="10" xfId="0" applyFont="1" applyFill="1" applyBorder="1"/>
    <xf numFmtId="0" fontId="2" fillId="3" borderId="17" xfId="0" applyFont="1" applyFill="1" applyBorder="1"/>
    <xf numFmtId="0" fontId="2" fillId="3" borderId="41" xfId="0" applyFont="1" applyFill="1" applyBorder="1"/>
    <xf numFmtId="0" fontId="2" fillId="3" borderId="12" xfId="0" applyFont="1" applyFill="1" applyBorder="1"/>
    <xf numFmtId="3" fontId="2" fillId="0" borderId="6" xfId="0" quotePrefix="1" applyNumberFormat="1" applyFont="1" applyFill="1" applyBorder="1" applyAlignment="1">
      <alignment horizontal="center"/>
    </xf>
    <xf numFmtId="3" fontId="2" fillId="1" borderId="42" xfId="0" applyNumberFormat="1" applyFont="1" applyFill="1" applyBorder="1" applyAlignment="1">
      <alignment horizontal="center"/>
    </xf>
    <xf numFmtId="3" fontId="10" fillId="0" borderId="43" xfId="0" applyNumberFormat="1" applyFont="1" applyBorder="1" applyAlignment="1">
      <alignment horizontal="center"/>
    </xf>
    <xf numFmtId="3" fontId="63" fillId="0" borderId="44" xfId="0" applyNumberFormat="1" applyFont="1" applyBorder="1" applyAlignment="1">
      <alignment horizontal="center"/>
    </xf>
    <xf numFmtId="0" fontId="2" fillId="0" borderId="45" xfId="0" applyFont="1" applyBorder="1" applyAlignment="1">
      <alignment horizontal="center"/>
    </xf>
    <xf numFmtId="0" fontId="2" fillId="0" borderId="46" xfId="0" applyFont="1" applyBorder="1" applyAlignment="1">
      <alignment horizontal="center"/>
    </xf>
    <xf numFmtId="0" fontId="2" fillId="0" borderId="47" xfId="0" applyFont="1" applyBorder="1" applyAlignment="1">
      <alignment horizontal="center"/>
    </xf>
    <xf numFmtId="0" fontId="2" fillId="0" borderId="48" xfId="0" applyFont="1" applyBorder="1" applyAlignment="1">
      <alignment horizontal="center"/>
    </xf>
    <xf numFmtId="0" fontId="5" fillId="0" borderId="40" xfId="0" applyFont="1" applyBorder="1" applyAlignment="1">
      <alignment horizontal="center"/>
    </xf>
    <xf numFmtId="3" fontId="2" fillId="0" borderId="38" xfId="0" applyNumberFormat="1" applyFont="1" applyBorder="1" applyAlignment="1">
      <alignment horizontal="center"/>
    </xf>
    <xf numFmtId="3" fontId="2" fillId="0" borderId="37" xfId="0" applyNumberFormat="1" applyFont="1" applyBorder="1" applyAlignment="1">
      <alignment horizontal="center"/>
    </xf>
    <xf numFmtId="3" fontId="2" fillId="0" borderId="40" xfId="0" applyNumberFormat="1" applyFont="1" applyBorder="1" applyAlignment="1">
      <alignment horizontal="center"/>
    </xf>
    <xf numFmtId="3" fontId="2" fillId="0" borderId="49" xfId="0" applyNumberFormat="1" applyFont="1" applyBorder="1" applyAlignment="1">
      <alignment horizontal="center"/>
    </xf>
    <xf numFmtId="3" fontId="2" fillId="0" borderId="12" xfId="0" applyNumberFormat="1" applyFont="1" applyFill="1" applyBorder="1" applyAlignment="1">
      <alignment horizontal="center"/>
    </xf>
    <xf numFmtId="3" fontId="10" fillId="0" borderId="50" xfId="0" applyNumberFormat="1" applyFont="1" applyBorder="1" applyAlignment="1">
      <alignment horizontal="center"/>
    </xf>
    <xf numFmtId="0" fontId="2" fillId="0" borderId="51" xfId="0" applyNumberFormat="1" applyFont="1" applyFill="1" applyBorder="1" applyAlignment="1">
      <alignment horizontal="center"/>
    </xf>
    <xf numFmtId="0" fontId="2" fillId="0" borderId="3" xfId="0" applyNumberFormat="1" applyFont="1" applyFill="1" applyBorder="1" applyAlignment="1">
      <alignment horizontal="center"/>
    </xf>
    <xf numFmtId="0" fontId="2" fillId="0" borderId="52" xfId="0" applyNumberFormat="1" applyFont="1" applyFill="1" applyBorder="1" applyAlignment="1">
      <alignment horizontal="center"/>
    </xf>
    <xf numFmtId="2" fontId="2" fillId="0" borderId="38" xfId="0" applyNumberFormat="1" applyFont="1" applyFill="1" applyBorder="1" applyAlignment="1">
      <alignment horizontal="center"/>
    </xf>
    <xf numFmtId="170" fontId="2" fillId="0" borderId="39" xfId="0" applyNumberFormat="1" applyFont="1" applyFill="1" applyBorder="1" applyAlignment="1">
      <alignment horizontal="center"/>
    </xf>
    <xf numFmtId="2" fontId="2" fillId="0" borderId="37" xfId="0" applyNumberFormat="1" applyFont="1" applyFill="1" applyBorder="1" applyAlignment="1">
      <alignment horizontal="center"/>
    </xf>
    <xf numFmtId="170" fontId="2" fillId="0" borderId="29" xfId="0" applyNumberFormat="1" applyFont="1" applyFill="1" applyBorder="1" applyAlignment="1">
      <alignment horizontal="center"/>
    </xf>
    <xf numFmtId="2" fontId="2" fillId="0" borderId="40" xfId="0" applyNumberFormat="1" applyFont="1" applyFill="1" applyBorder="1" applyAlignment="1">
      <alignment horizontal="center"/>
    </xf>
    <xf numFmtId="170" fontId="2" fillId="0" borderId="32" xfId="0" applyNumberFormat="1" applyFont="1" applyFill="1" applyBorder="1" applyAlignment="1">
      <alignment horizontal="center"/>
    </xf>
    <xf numFmtId="4" fontId="2" fillId="0" borderId="29" xfId="0" applyNumberFormat="1" applyFont="1" applyFill="1" applyBorder="1" applyAlignment="1">
      <alignment horizontal="center"/>
    </xf>
    <xf numFmtId="4" fontId="2" fillId="0" borderId="32" xfId="0" applyNumberFormat="1" applyFont="1" applyFill="1" applyBorder="1" applyAlignment="1">
      <alignment horizontal="center"/>
    </xf>
    <xf numFmtId="175" fontId="2" fillId="0" borderId="39" xfId="0" applyNumberFormat="1" applyFont="1" applyFill="1" applyBorder="1" applyAlignment="1">
      <alignment horizontal="center"/>
    </xf>
    <xf numFmtId="175" fontId="2" fillId="0" borderId="29" xfId="0" applyNumberFormat="1" applyFont="1" applyFill="1" applyBorder="1" applyAlignment="1">
      <alignment horizontal="center"/>
    </xf>
    <xf numFmtId="175" fontId="2" fillId="0" borderId="32" xfId="0" applyNumberFormat="1" applyFont="1" applyFill="1" applyBorder="1" applyAlignment="1">
      <alignment horizontal="center"/>
    </xf>
    <xf numFmtId="3" fontId="2" fillId="0" borderId="39" xfId="0" applyNumberFormat="1" applyFont="1" applyFill="1" applyBorder="1" applyAlignment="1">
      <alignment horizontal="center"/>
    </xf>
    <xf numFmtId="3" fontId="2" fillId="0" borderId="32" xfId="0" applyNumberFormat="1" applyFont="1" applyFill="1" applyBorder="1" applyAlignment="1">
      <alignment horizontal="center"/>
    </xf>
    <xf numFmtId="2" fontId="2" fillId="0" borderId="49" xfId="0" applyNumberFormat="1" applyFont="1" applyFill="1" applyBorder="1" applyAlignment="1">
      <alignment horizontal="center"/>
    </xf>
    <xf numFmtId="3" fontId="2" fillId="0" borderId="31" xfId="0" applyNumberFormat="1" applyFont="1" applyFill="1" applyBorder="1" applyAlignment="1">
      <alignment horizontal="center"/>
    </xf>
    <xf numFmtId="2" fontId="2" fillId="0" borderId="53" xfId="0" applyNumberFormat="1" applyFont="1" applyFill="1" applyBorder="1" applyAlignment="1">
      <alignment horizontal="center"/>
    </xf>
    <xf numFmtId="171" fontId="2" fillId="0" borderId="37" xfId="0" applyNumberFormat="1" applyFont="1" applyFill="1" applyBorder="1" applyAlignment="1">
      <alignment horizontal="center"/>
    </xf>
    <xf numFmtId="0" fontId="2" fillId="0" borderId="37" xfId="0" applyFont="1" applyBorder="1" applyAlignment="1"/>
    <xf numFmtId="0" fontId="2" fillId="1" borderId="23" xfId="0" applyFont="1" applyFill="1" applyBorder="1" applyAlignment="1"/>
    <xf numFmtId="0" fontId="2" fillId="1" borderId="0" xfId="0" applyFont="1" applyFill="1" applyBorder="1" applyAlignment="1"/>
    <xf numFmtId="0" fontId="2" fillId="1" borderId="40" xfId="0" applyFont="1" applyFill="1" applyBorder="1" applyAlignment="1"/>
    <xf numFmtId="0" fontId="2" fillId="2" borderId="9" xfId="0" applyFont="1" applyFill="1" applyBorder="1" applyAlignment="1" applyProtection="1">
      <alignment horizontal="left"/>
      <protection locked="0"/>
    </xf>
    <xf numFmtId="0" fontId="2" fillId="2" borderId="54" xfId="0" applyFont="1" applyFill="1" applyBorder="1" applyAlignment="1" applyProtection="1">
      <alignment horizontal="left"/>
      <protection locked="0"/>
    </xf>
    <xf numFmtId="0" fontId="2" fillId="2" borderId="4" xfId="0" applyFont="1" applyFill="1" applyBorder="1" applyAlignment="1" applyProtection="1">
      <alignment horizontal="center"/>
      <protection locked="0"/>
    </xf>
    <xf numFmtId="0" fontId="2" fillId="2" borderId="29" xfId="0" applyFont="1" applyFill="1" applyBorder="1" applyAlignment="1" applyProtection="1">
      <alignment horizontal="center"/>
      <protection locked="0"/>
    </xf>
    <xf numFmtId="0" fontId="2" fillId="2" borderId="6" xfId="0" applyFont="1" applyFill="1" applyBorder="1" applyAlignment="1" applyProtection="1">
      <alignment horizontal="center"/>
      <protection locked="0"/>
    </xf>
    <xf numFmtId="0" fontId="2" fillId="2" borderId="17" xfId="0" applyFont="1" applyFill="1" applyBorder="1" applyAlignment="1" applyProtection="1">
      <alignment horizontal="center"/>
      <protection locked="0"/>
    </xf>
    <xf numFmtId="0" fontId="2" fillId="2" borderId="15" xfId="0" applyFont="1" applyFill="1" applyBorder="1" applyAlignment="1" applyProtection="1">
      <alignment horizontal="center"/>
      <protection locked="0"/>
    </xf>
    <xf numFmtId="0" fontId="2" fillId="2" borderId="11" xfId="0" applyFont="1" applyFill="1" applyBorder="1" applyAlignment="1" applyProtection="1">
      <alignment horizontal="center"/>
      <protection locked="0"/>
    </xf>
    <xf numFmtId="176" fontId="2" fillId="2" borderId="42" xfId="0" applyNumberFormat="1" applyFont="1" applyFill="1" applyBorder="1" applyAlignment="1" applyProtection="1">
      <alignment horizontal="center"/>
      <protection locked="0"/>
    </xf>
    <xf numFmtId="0" fontId="2" fillId="1" borderId="35" xfId="0" applyNumberFormat="1" applyFont="1" applyFill="1" applyBorder="1" applyAlignment="1">
      <alignment horizontal="center"/>
    </xf>
    <xf numFmtId="0" fontId="2" fillId="2" borderId="42" xfId="0" applyFont="1" applyFill="1" applyBorder="1" applyAlignment="1" applyProtection="1">
      <alignment horizontal="center"/>
      <protection locked="0"/>
    </xf>
    <xf numFmtId="0" fontId="2" fillId="9" borderId="55" xfId="0" applyFont="1" applyFill="1" applyBorder="1" applyProtection="1">
      <protection locked="0"/>
    </xf>
    <xf numFmtId="0" fontId="2" fillId="9" borderId="49" xfId="0" applyFont="1" applyFill="1" applyBorder="1" applyProtection="1">
      <protection locked="0"/>
    </xf>
    <xf numFmtId="0" fontId="2" fillId="9" borderId="53" xfId="0" applyFont="1" applyFill="1" applyBorder="1" applyProtection="1">
      <protection locked="0"/>
    </xf>
    <xf numFmtId="0" fontId="2" fillId="3" borderId="0" xfId="0" applyFont="1" applyFill="1" applyAlignment="1">
      <alignment horizontal="left" indent="1"/>
    </xf>
    <xf numFmtId="1" fontId="2" fillId="3" borderId="0" xfId="0" applyNumberFormat="1" applyFont="1" applyFill="1" applyAlignment="1">
      <alignment horizontal="center"/>
    </xf>
    <xf numFmtId="0" fontId="3" fillId="0" borderId="3" xfId="0" applyFont="1" applyBorder="1"/>
    <xf numFmtId="0" fontId="2" fillId="0" borderId="9" xfId="0" applyFont="1" applyBorder="1"/>
    <xf numFmtId="0" fontId="2" fillId="0" borderId="5" xfId="0" applyFont="1" applyBorder="1" applyAlignment="1">
      <alignment horizontal="left" indent="1"/>
    </xf>
    <xf numFmtId="0" fontId="2" fillId="0" borderId="3" xfId="0" applyFont="1" applyBorder="1"/>
    <xf numFmtId="0" fontId="3" fillId="0" borderId="5" xfId="0" applyFont="1" applyBorder="1" applyAlignment="1">
      <alignment horizontal="center"/>
    </xf>
    <xf numFmtId="171" fontId="2" fillId="5" borderId="5" xfId="0" applyNumberFormat="1" applyFont="1" applyFill="1" applyBorder="1" applyAlignment="1">
      <alignment horizontal="center"/>
    </xf>
    <xf numFmtId="0" fontId="2" fillId="0" borderId="56" xfId="0" applyFont="1" applyBorder="1" applyAlignment="1">
      <alignment horizontal="center"/>
    </xf>
    <xf numFmtId="0" fontId="2" fillId="1" borderId="36" xfId="0" applyNumberFormat="1" applyFont="1" applyFill="1" applyBorder="1" applyAlignment="1">
      <alignment horizontal="center"/>
    </xf>
    <xf numFmtId="3" fontId="2" fillId="0" borderId="53" xfId="0" applyNumberFormat="1" applyFont="1" applyBorder="1" applyAlignment="1">
      <alignment horizontal="center"/>
    </xf>
    <xf numFmtId="3" fontId="2" fillId="0" borderId="6" xfId="0" applyNumberFormat="1" applyFont="1" applyBorder="1" applyAlignment="1">
      <alignment horizontal="center"/>
    </xf>
    <xf numFmtId="0" fontId="3" fillId="0" borderId="3" xfId="0" applyFont="1" applyBorder="1" applyAlignment="1">
      <alignment horizontal="left"/>
    </xf>
    <xf numFmtId="170" fontId="6" fillId="2" borderId="0" xfId="0" applyNumberFormat="1" applyFont="1" applyFill="1" applyBorder="1" applyAlignment="1">
      <alignment horizontal="center"/>
    </xf>
    <xf numFmtId="1" fontId="6" fillId="2" borderId="0" xfId="0" applyNumberFormat="1" applyFont="1" applyFill="1" applyBorder="1" applyAlignment="1">
      <alignment horizontal="center"/>
    </xf>
    <xf numFmtId="171" fontId="2" fillId="5" borderId="5" xfId="0" applyNumberFormat="1" applyFont="1" applyFill="1" applyBorder="1" applyAlignment="1"/>
    <xf numFmtId="170" fontId="6" fillId="2" borderId="4" xfId="0" applyNumberFormat="1" applyFont="1" applyFill="1" applyBorder="1" applyAlignment="1">
      <alignment horizontal="center"/>
    </xf>
    <xf numFmtId="0" fontId="6" fillId="3" borderId="5" xfId="0" applyNumberFormat="1" applyFont="1" applyFill="1" applyBorder="1" applyAlignment="1">
      <alignment horizontal="center"/>
    </xf>
    <xf numFmtId="170" fontId="6" fillId="3" borderId="16" xfId="0" applyNumberFormat="1" applyFont="1" applyFill="1" applyBorder="1" applyAlignment="1">
      <alignment horizontal="center"/>
    </xf>
    <xf numFmtId="0" fontId="5" fillId="0" borderId="0" xfId="0" quotePrefix="1" applyFont="1"/>
    <xf numFmtId="0" fontId="2" fillId="3" borderId="0" xfId="0" applyFont="1" applyFill="1" applyBorder="1" applyAlignment="1">
      <alignment horizontal="left" vertical="top"/>
    </xf>
    <xf numFmtId="9" fontId="7" fillId="3" borderId="0" xfId="0" applyNumberFormat="1" applyFont="1" applyFill="1" applyBorder="1" applyAlignment="1">
      <alignment horizontal="center"/>
    </xf>
    <xf numFmtId="1" fontId="7" fillId="3" borderId="0" xfId="0" applyNumberFormat="1" applyFont="1" applyFill="1" applyBorder="1" applyAlignment="1">
      <alignment horizontal="center"/>
    </xf>
    <xf numFmtId="0" fontId="2" fillId="3" borderId="0" xfId="0" applyFont="1" applyFill="1" applyBorder="1" applyAlignment="1">
      <alignment horizontal="center" vertical="center"/>
    </xf>
    <xf numFmtId="0" fontId="3" fillId="0" borderId="5" xfId="0" applyFont="1" applyBorder="1"/>
    <xf numFmtId="0" fontId="3" fillId="0" borderId="14" xfId="0" applyFont="1" applyBorder="1"/>
    <xf numFmtId="0" fontId="20" fillId="0" borderId="9" xfId="0" applyFont="1" applyBorder="1" applyAlignment="1">
      <alignment horizontal="center"/>
    </xf>
    <xf numFmtId="0" fontId="20" fillId="0" borderId="4" xfId="0" applyFont="1" applyBorder="1" applyAlignment="1">
      <alignment horizontal="center"/>
    </xf>
    <xf numFmtId="0" fontId="3" fillId="0" borderId="9" xfId="0" applyFont="1" applyBorder="1" applyAlignment="1">
      <alignment horizontal="center"/>
    </xf>
    <xf numFmtId="0" fontId="3" fillId="0" borderId="4" xfId="0" applyFont="1" applyBorder="1" applyAlignment="1">
      <alignment horizontal="center"/>
    </xf>
    <xf numFmtId="0" fontId="3" fillId="0" borderId="0" xfId="0" applyFont="1" applyFill="1" applyBorder="1" applyAlignment="1"/>
    <xf numFmtId="0" fontId="61" fillId="0" borderId="0" xfId="0" applyFont="1" applyBorder="1"/>
    <xf numFmtId="0" fontId="11" fillId="0" borderId="0" xfId="0" applyFont="1" applyBorder="1"/>
    <xf numFmtId="0" fontId="0" fillId="0" borderId="0" xfId="0" applyFont="1" applyFill="1" applyBorder="1" applyAlignment="1">
      <alignment horizontal="center"/>
    </xf>
    <xf numFmtId="0" fontId="69" fillId="0" borderId="0" xfId="0" applyFont="1" applyBorder="1"/>
    <xf numFmtId="173" fontId="7" fillId="2" borderId="5" xfId="0" applyNumberFormat="1" applyFont="1" applyFill="1" applyBorder="1" applyAlignment="1">
      <alignment horizontal="center"/>
    </xf>
    <xf numFmtId="0" fontId="2" fillId="0" borderId="57" xfId="0" applyFont="1" applyBorder="1" applyAlignment="1">
      <alignment horizontal="center"/>
    </xf>
    <xf numFmtId="0" fontId="52" fillId="0" borderId="0" xfId="0" applyFont="1" applyFill="1" applyBorder="1"/>
    <xf numFmtId="0" fontId="18" fillId="9" borderId="58" xfId="5" applyFont="1" applyFill="1" applyBorder="1" applyAlignment="1" applyProtection="1">
      <alignment horizontal="left"/>
      <protection locked="0"/>
    </xf>
    <xf numFmtId="0" fontId="18" fillId="6" borderId="58" xfId="5" applyFont="1" applyFill="1" applyBorder="1" applyAlignment="1" applyProtection="1">
      <alignment horizontal="left"/>
      <protection locked="0"/>
    </xf>
    <xf numFmtId="0" fontId="18" fillId="9" borderId="25" xfId="5" applyFont="1" applyFill="1" applyBorder="1" applyAlignment="1" applyProtection="1">
      <alignment horizontal="left"/>
      <protection locked="0"/>
    </xf>
    <xf numFmtId="0" fontId="18" fillId="9" borderId="20" xfId="5" applyFont="1" applyFill="1" applyBorder="1" applyAlignment="1" applyProtection="1">
      <alignment horizontal="left"/>
      <protection locked="0"/>
    </xf>
    <xf numFmtId="0" fontId="70" fillId="0" borderId="0" xfId="0" applyFont="1" applyFill="1"/>
    <xf numFmtId="0" fontId="71" fillId="0" borderId="0" xfId="0" applyFont="1" applyFill="1"/>
    <xf numFmtId="2" fontId="5" fillId="0" borderId="0" xfId="0" applyNumberFormat="1" applyFont="1"/>
    <xf numFmtId="3" fontId="2" fillId="3" borderId="0" xfId="0" applyNumberFormat="1" applyFont="1" applyFill="1"/>
    <xf numFmtId="0" fontId="2" fillId="5" borderId="5" xfId="0" applyFont="1" applyFill="1" applyBorder="1"/>
    <xf numFmtId="0" fontId="2" fillId="9" borderId="3" xfId="0" applyFont="1" applyFill="1" applyBorder="1" applyAlignment="1" applyProtection="1">
      <alignment horizontal="center"/>
      <protection locked="0"/>
    </xf>
    <xf numFmtId="0" fontId="2" fillId="0" borderId="0" xfId="0" applyFont="1" applyBorder="1"/>
    <xf numFmtId="0" fontId="2" fillId="0" borderId="20" xfId="0" applyFont="1" applyBorder="1"/>
    <xf numFmtId="0" fontId="2" fillId="0" borderId="21" xfId="0" applyFont="1" applyBorder="1"/>
    <xf numFmtId="0" fontId="2" fillId="0" borderId="22" xfId="0" applyFont="1" applyBorder="1"/>
    <xf numFmtId="0" fontId="2" fillId="0" borderId="23" xfId="0" applyFont="1" applyBorder="1"/>
    <xf numFmtId="0" fontId="2" fillId="0" borderId="24" xfId="0" applyFont="1" applyBorder="1"/>
    <xf numFmtId="0" fontId="2" fillId="0" borderId="25" xfId="0" applyFont="1" applyBorder="1"/>
    <xf numFmtId="0" fontId="2" fillId="0" borderId="26" xfId="0" applyFont="1" applyBorder="1"/>
    <xf numFmtId="0" fontId="2" fillId="0" borderId="27" xfId="0" applyFont="1" applyBorder="1"/>
    <xf numFmtId="0" fontId="2" fillId="0" borderId="59" xfId="0" applyFont="1" applyBorder="1"/>
    <xf numFmtId="3" fontId="18" fillId="0" borderId="5" xfId="0" applyNumberFormat="1" applyFont="1" applyFill="1" applyBorder="1" applyAlignment="1">
      <alignment horizontal="center"/>
    </xf>
    <xf numFmtId="0" fontId="18" fillId="0" borderId="28" xfId="0" applyFont="1" applyBorder="1" applyAlignment="1">
      <alignment horizontal="center"/>
    </xf>
    <xf numFmtId="0" fontId="7" fillId="0" borderId="28" xfId="0" applyFont="1" applyBorder="1" applyAlignment="1">
      <alignment horizontal="center"/>
    </xf>
    <xf numFmtId="0" fontId="2" fillId="9" borderId="0" xfId="0" applyFont="1" applyFill="1" applyBorder="1" applyAlignment="1">
      <alignment horizontal="center"/>
    </xf>
    <xf numFmtId="0" fontId="2" fillId="9" borderId="3" xfId="0" applyFont="1" applyFill="1" applyBorder="1" applyAlignment="1">
      <alignment horizontal="center"/>
    </xf>
    <xf numFmtId="0" fontId="2" fillId="9" borderId="9" xfId="0" applyFont="1" applyFill="1" applyBorder="1" applyAlignment="1">
      <alignment horizontal="center"/>
    </xf>
    <xf numFmtId="0" fontId="2" fillId="9" borderId="4" xfId="0" applyFont="1" applyFill="1" applyBorder="1" applyAlignment="1">
      <alignment horizontal="center"/>
    </xf>
    <xf numFmtId="0" fontId="2" fillId="9" borderId="5" xfId="0" applyFont="1" applyFill="1" applyBorder="1" applyAlignment="1">
      <alignment horizontal="center"/>
    </xf>
    <xf numFmtId="0" fontId="2" fillId="9" borderId="12" xfId="0" applyFont="1" applyFill="1" applyBorder="1" applyAlignment="1">
      <alignment horizontal="center"/>
    </xf>
    <xf numFmtId="0" fontId="2" fillId="9" borderId="13" xfId="0" applyFont="1" applyFill="1" applyBorder="1" applyAlignment="1">
      <alignment horizontal="center"/>
    </xf>
    <xf numFmtId="0" fontId="3" fillId="9" borderId="60" xfId="0" applyFont="1" applyFill="1" applyBorder="1" applyAlignment="1"/>
    <xf numFmtId="0" fontId="74" fillId="3" borderId="0" xfId="0" applyFont="1" applyFill="1"/>
    <xf numFmtId="0" fontId="2" fillId="5" borderId="8" xfId="0" applyFont="1" applyFill="1" applyBorder="1" applyAlignment="1" applyProtection="1">
      <alignment horizontal="center"/>
      <protection locked="0"/>
    </xf>
    <xf numFmtId="0" fontId="2" fillId="5" borderId="5" xfId="0" applyFont="1" applyFill="1" applyBorder="1" applyAlignment="1" applyProtection="1">
      <alignment horizontal="center"/>
      <protection locked="0"/>
    </xf>
    <xf numFmtId="0" fontId="19" fillId="0" borderId="0" xfId="0" applyFont="1"/>
    <xf numFmtId="0" fontId="1" fillId="0" borderId="0" xfId="0" applyFont="1"/>
    <xf numFmtId="1" fontId="2" fillId="3" borderId="0" xfId="0" applyNumberFormat="1" applyFont="1" applyFill="1" applyAlignment="1">
      <alignment horizontal="center"/>
    </xf>
    <xf numFmtId="171" fontId="2" fillId="5" borderId="5" xfId="0" applyNumberFormat="1" applyFont="1" applyFill="1" applyBorder="1" applyAlignment="1">
      <alignment horizontal="center"/>
    </xf>
    <xf numFmtId="0" fontId="0" fillId="0" borderId="3" xfId="0" applyBorder="1" applyAlignment="1">
      <alignment horizontal="center"/>
    </xf>
    <xf numFmtId="0" fontId="0" fillId="0" borderId="9" xfId="0" applyBorder="1" applyAlignment="1">
      <alignment horizontal="center"/>
    </xf>
    <xf numFmtId="0" fontId="0" fillId="0" borderId="4" xfId="0" applyBorder="1" applyAlignment="1">
      <alignment horizontal="center"/>
    </xf>
    <xf numFmtId="0" fontId="0" fillId="0" borderId="20" xfId="0" applyBorder="1" applyAlignment="1">
      <alignment horizontal="center"/>
    </xf>
    <xf numFmtId="0" fontId="0" fillId="0" borderId="22" xfId="0" applyBorder="1" applyAlignment="1">
      <alignment horizontal="center"/>
    </xf>
    <xf numFmtId="0" fontId="5" fillId="3" borderId="12" xfId="0" applyFont="1" applyFill="1" applyBorder="1" applyAlignment="1" applyProtection="1">
      <alignment horizontal="center"/>
    </xf>
    <xf numFmtId="0" fontId="5" fillId="0" borderId="13" xfId="0" applyFont="1" applyBorder="1" applyAlignment="1">
      <alignment horizontal="center"/>
    </xf>
    <xf numFmtId="0" fontId="5" fillId="3" borderId="10" xfId="0" applyFont="1" applyFill="1" applyBorder="1" applyAlignment="1" applyProtection="1">
      <alignment horizontal="center"/>
    </xf>
    <xf numFmtId="0" fontId="5" fillId="0" borderId="11" xfId="0" applyFont="1" applyBorder="1" applyAlignment="1">
      <alignment horizontal="center"/>
    </xf>
    <xf numFmtId="0" fontId="5" fillId="3" borderId="14" xfId="0" applyFont="1" applyFill="1" applyBorder="1" applyAlignment="1" applyProtection="1">
      <alignment horizontal="center"/>
    </xf>
    <xf numFmtId="0" fontId="5" fillId="0" borderId="15" xfId="0" applyFont="1" applyBorder="1" applyAlignment="1">
      <alignment horizontal="center"/>
    </xf>
    <xf numFmtId="170" fontId="6" fillId="2" borderId="10" xfId="0" applyNumberFormat="1" applyFont="1" applyFill="1" applyBorder="1" applyAlignment="1" applyProtection="1">
      <alignment horizontal="center"/>
      <protection locked="0"/>
    </xf>
    <xf numFmtId="1" fontId="6" fillId="2" borderId="3" xfId="0" applyNumberFormat="1" applyFont="1" applyFill="1" applyBorder="1" applyAlignment="1" applyProtection="1">
      <alignment horizontal="center"/>
    </xf>
    <xf numFmtId="1" fontId="30" fillId="2" borderId="4" xfId="0" applyNumberFormat="1" applyFont="1" applyFill="1" applyBorder="1" applyAlignment="1">
      <alignment horizontal="center"/>
    </xf>
    <xf numFmtId="170" fontId="6" fillId="2" borderId="3" xfId="0" applyNumberFormat="1" applyFont="1" applyFill="1" applyBorder="1" applyAlignment="1" applyProtection="1">
      <alignment horizontal="center"/>
      <protection locked="0"/>
    </xf>
    <xf numFmtId="0" fontId="5" fillId="0" borderId="4" xfId="0" applyFont="1" applyBorder="1" applyAlignment="1">
      <alignment horizontal="center"/>
    </xf>
    <xf numFmtId="170" fontId="6" fillId="2" borderId="4" xfId="0" applyNumberFormat="1" applyFont="1" applyFill="1" applyBorder="1" applyAlignment="1" applyProtection="1">
      <alignment horizontal="center"/>
      <protection locked="0"/>
    </xf>
    <xf numFmtId="3" fontId="5" fillId="4" borderId="3" xfId="0" applyNumberFormat="1" applyFont="1" applyFill="1" applyBorder="1" applyAlignment="1" applyProtection="1">
      <alignment horizontal="center"/>
    </xf>
    <xf numFmtId="3" fontId="19" fillId="0" borderId="4" xfId="0" applyNumberFormat="1" applyFont="1" applyBorder="1" applyAlignment="1">
      <alignment horizontal="center"/>
    </xf>
    <xf numFmtId="1" fontId="41" fillId="2" borderId="3" xfId="0" applyNumberFormat="1" applyFont="1" applyFill="1" applyBorder="1" applyAlignment="1" applyProtection="1">
      <alignment horizontal="center"/>
    </xf>
    <xf numFmtId="1" fontId="41" fillId="2" borderId="4" xfId="0" applyNumberFormat="1" applyFont="1" applyFill="1" applyBorder="1" applyAlignment="1" applyProtection="1">
      <alignment horizontal="center"/>
    </xf>
    <xf numFmtId="0" fontId="5" fillId="0" borderId="3" xfId="0" applyFont="1" applyBorder="1" applyAlignment="1">
      <alignment horizontal="left"/>
    </xf>
    <xf numFmtId="0" fontId="19" fillId="0" borderId="9" xfId="0" applyFont="1" applyBorder="1" applyAlignment="1">
      <alignment horizontal="left"/>
    </xf>
    <xf numFmtId="0" fontId="19" fillId="0" borderId="4" xfId="0" applyFont="1" applyBorder="1" applyAlignment="1"/>
    <xf numFmtId="0" fontId="10" fillId="0" borderId="10" xfId="0" applyFont="1" applyBorder="1" applyAlignment="1">
      <alignment horizontal="center" vertical="top"/>
    </xf>
    <xf numFmtId="0" fontId="0" fillId="0" borderId="17" xfId="0" applyBorder="1" applyAlignment="1">
      <alignment horizontal="center" vertical="top"/>
    </xf>
    <xf numFmtId="0" fontId="0" fillId="0" borderId="11" xfId="0" applyBorder="1" applyAlignment="1">
      <alignment horizontal="center" vertical="top"/>
    </xf>
    <xf numFmtId="0" fontId="5" fillId="0" borderId="14" xfId="0" applyFont="1" applyBorder="1" applyAlignment="1">
      <alignment horizontal="right" vertical="top"/>
    </xf>
    <xf numFmtId="0" fontId="0" fillId="0" borderId="16" xfId="0" applyBorder="1" applyAlignment="1">
      <alignment horizontal="right" vertical="top"/>
    </xf>
    <xf numFmtId="170" fontId="5" fillId="0" borderId="10" xfId="0" applyNumberFormat="1" applyFont="1" applyFill="1"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center"/>
    </xf>
    <xf numFmtId="0" fontId="0" fillId="0" borderId="14" xfId="0" applyBorder="1" applyAlignment="1">
      <alignment horizontal="center"/>
    </xf>
    <xf numFmtId="170" fontId="5" fillId="0" borderId="6" xfId="0" applyNumberFormat="1" applyFont="1" applyFill="1" applyBorder="1" applyAlignment="1">
      <alignment horizontal="center" vertical="center"/>
    </xf>
    <xf numFmtId="0" fontId="0" fillId="0" borderId="7" xfId="0" applyBorder="1" applyAlignment="1">
      <alignment horizontal="center" vertical="center"/>
    </xf>
    <xf numFmtId="0" fontId="0" fillId="0" borderId="7" xfId="0" applyBorder="1" applyAlignment="1"/>
    <xf numFmtId="0" fontId="0" fillId="0" borderId="8" xfId="0" applyBorder="1" applyAlignment="1"/>
    <xf numFmtId="0" fontId="0" fillId="0" borderId="4" xfId="0" applyBorder="1" applyAlignment="1"/>
    <xf numFmtId="0" fontId="5" fillId="0" borderId="3" xfId="0" applyFont="1" applyFill="1" applyBorder="1" applyAlignment="1">
      <alignment horizontal="left"/>
    </xf>
    <xf numFmtId="0" fontId="19" fillId="0" borderId="9" xfId="0" applyFont="1" applyFill="1" applyBorder="1" applyAlignment="1">
      <alignment horizontal="left"/>
    </xf>
    <xf numFmtId="0" fontId="19" fillId="0" borderId="4" xfId="0" applyFont="1" applyFill="1" applyBorder="1" applyAlignment="1"/>
    <xf numFmtId="0" fontId="0" fillId="0" borderId="7" xfId="0" applyFill="1" applyBorder="1" applyAlignment="1">
      <alignment horizontal="center" vertical="center"/>
    </xf>
    <xf numFmtId="0" fontId="0" fillId="0" borderId="8" xfId="0" applyFill="1" applyBorder="1" applyAlignment="1">
      <alignment horizontal="center" vertical="center"/>
    </xf>
    <xf numFmtId="1" fontId="15" fillId="0" borderId="3" xfId="0" applyNumberFormat="1" applyFont="1" applyFill="1" applyBorder="1" applyAlignment="1">
      <alignment horizontal="center"/>
    </xf>
    <xf numFmtId="1" fontId="49" fillId="0" borderId="9" xfId="0" applyNumberFormat="1" applyFont="1" applyBorder="1" applyAlignment="1">
      <alignment horizontal="center"/>
    </xf>
    <xf numFmtId="1" fontId="49" fillId="0" borderId="4" xfId="0" applyNumberFormat="1" applyFont="1" applyBorder="1" applyAlignment="1">
      <alignment horizontal="center"/>
    </xf>
    <xf numFmtId="0" fontId="5" fillId="0" borderId="10" xfId="0" applyFont="1" applyFill="1" applyBorder="1" applyAlignment="1">
      <alignment horizontal="center"/>
    </xf>
    <xf numFmtId="0" fontId="0" fillId="0" borderId="11" xfId="0" applyBorder="1" applyAlignment="1">
      <alignment horizontal="center"/>
    </xf>
    <xf numFmtId="0" fontId="5" fillId="0" borderId="14" xfId="0" applyFont="1" applyFill="1" applyBorder="1" applyAlignment="1">
      <alignment horizontal="center"/>
    </xf>
    <xf numFmtId="0" fontId="0" fillId="0" borderId="15" xfId="0" applyBorder="1" applyAlignment="1">
      <alignment horizontal="center"/>
    </xf>
    <xf numFmtId="0" fontId="5" fillId="0" borderId="3" xfId="0" applyNumberFormat="1" applyFont="1" applyFill="1" applyBorder="1" applyAlignment="1">
      <alignment horizontal="center"/>
    </xf>
    <xf numFmtId="0" fontId="19" fillId="0" borderId="4" xfId="0" applyNumberFormat="1" applyFont="1" applyFill="1" applyBorder="1" applyAlignment="1">
      <alignment horizontal="center"/>
    </xf>
    <xf numFmtId="0" fontId="31" fillId="0" borderId="10" xfId="0" applyFont="1" applyFill="1" applyBorder="1" applyAlignment="1">
      <alignment horizontal="left" vertical="top" wrapText="1"/>
    </xf>
    <xf numFmtId="0" fontId="31" fillId="0" borderId="11" xfId="0" applyFont="1" applyBorder="1" applyAlignment="1">
      <alignment horizontal="left" vertical="top" wrapText="1"/>
    </xf>
    <xf numFmtId="0" fontId="31" fillId="0" borderId="12" xfId="0" applyFont="1" applyBorder="1" applyAlignment="1">
      <alignment horizontal="left" vertical="top" wrapText="1"/>
    </xf>
    <xf numFmtId="0" fontId="31" fillId="0" borderId="13" xfId="0" applyFont="1" applyBorder="1" applyAlignment="1">
      <alignment horizontal="left" vertical="top" wrapText="1"/>
    </xf>
    <xf numFmtId="0" fontId="31" fillId="0" borderId="14" xfId="0" applyFont="1" applyBorder="1" applyAlignment="1">
      <alignment horizontal="left" vertical="top" wrapText="1"/>
    </xf>
    <xf numFmtId="0" fontId="31" fillId="0" borderId="15" xfId="0" applyFont="1" applyBorder="1" applyAlignment="1">
      <alignment horizontal="left" vertical="top" wrapText="1"/>
    </xf>
    <xf numFmtId="0" fontId="5" fillId="0" borderId="3" xfId="0" applyFont="1" applyBorder="1" applyAlignment="1">
      <alignment horizontal="center"/>
    </xf>
    <xf numFmtId="0" fontId="6" fillId="2" borderId="3" xfId="0" applyNumberFormat="1" applyFont="1" applyFill="1" applyBorder="1" applyAlignment="1"/>
    <xf numFmtId="0" fontId="6" fillId="2" borderId="4" xfId="0" applyNumberFormat="1" applyFont="1" applyFill="1" applyBorder="1" applyAlignment="1"/>
    <xf numFmtId="0" fontId="10" fillId="0" borderId="10" xfId="0" applyFont="1" applyBorder="1" applyAlignment="1">
      <alignment horizontal="center" wrapText="1"/>
    </xf>
    <xf numFmtId="0" fontId="10" fillId="0" borderId="17" xfId="0" applyFont="1" applyBorder="1" applyAlignment="1">
      <alignment horizontal="center" wrapText="1"/>
    </xf>
    <xf numFmtId="0" fontId="11" fillId="0" borderId="17" xfId="0" applyFont="1" applyBorder="1" applyAlignment="1">
      <alignment wrapText="1"/>
    </xf>
    <xf numFmtId="0" fontId="11" fillId="0" borderId="11" xfId="0" applyFont="1" applyBorder="1" applyAlignment="1">
      <alignment wrapText="1"/>
    </xf>
    <xf numFmtId="0" fontId="10" fillId="0" borderId="14" xfId="0" applyFont="1" applyBorder="1" applyAlignment="1">
      <alignment horizontal="center" wrapText="1"/>
    </xf>
    <xf numFmtId="0" fontId="10" fillId="0" borderId="16" xfId="0" applyFont="1" applyBorder="1" applyAlignment="1">
      <alignment horizontal="center" wrapText="1"/>
    </xf>
    <xf numFmtId="0" fontId="11" fillId="0" borderId="16" xfId="0" applyFont="1" applyBorder="1" applyAlignment="1">
      <alignment wrapText="1"/>
    </xf>
    <xf numFmtId="0" fontId="11" fillId="0" borderId="15" xfId="0" applyFont="1" applyBorder="1" applyAlignment="1">
      <alignment wrapText="1"/>
    </xf>
    <xf numFmtId="0" fontId="5" fillId="0" borderId="10" xfId="0" applyFont="1" applyBorder="1" applyAlignment="1">
      <alignment horizontal="left" vertical="top" wrapText="1"/>
    </xf>
    <xf numFmtId="0" fontId="0" fillId="0" borderId="17"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0" xfId="0" applyAlignment="1">
      <alignment horizontal="left" vertical="top" wrapText="1"/>
    </xf>
    <xf numFmtId="0" fontId="0" fillId="0" borderId="13" xfId="0" applyBorder="1" applyAlignment="1">
      <alignment horizontal="left" vertical="top" wrapText="1"/>
    </xf>
    <xf numFmtId="0" fontId="0" fillId="0" borderId="0" xfId="0" applyBorder="1" applyAlignment="1">
      <alignment horizontal="left" vertical="top" wrapText="1"/>
    </xf>
    <xf numFmtId="0" fontId="2" fillId="0" borderId="14" xfId="0" applyFont="1" applyBorder="1" applyAlignment="1">
      <alignment horizontal="right" vertical="top"/>
    </xf>
    <xf numFmtId="0" fontId="0" fillId="0" borderId="16" xfId="0" applyBorder="1" applyAlignment="1">
      <alignment vertical="top"/>
    </xf>
    <xf numFmtId="2" fontId="29" fillId="0" borderId="6" xfId="0" applyNumberFormat="1" applyFont="1" applyFill="1" applyBorder="1" applyAlignment="1">
      <alignment horizontal="left" vertical="top" wrapText="1"/>
    </xf>
    <xf numFmtId="2" fontId="29" fillId="0" borderId="7" xfId="0" applyNumberFormat="1" applyFont="1" applyFill="1" applyBorder="1" applyAlignment="1">
      <alignment horizontal="left" vertical="top" wrapText="1"/>
    </xf>
    <xf numFmtId="2" fontId="29" fillId="0" borderId="8" xfId="0" applyNumberFormat="1" applyFont="1" applyFill="1" applyBorder="1" applyAlignment="1">
      <alignment horizontal="left" vertical="top" wrapText="1"/>
    </xf>
    <xf numFmtId="0" fontId="15" fillId="0" borderId="10" xfId="0" applyFont="1" applyBorder="1" applyAlignment="1">
      <alignment horizontal="center"/>
    </xf>
    <xf numFmtId="0" fontId="49" fillId="0" borderId="17" xfId="0" applyFont="1" applyBorder="1" applyAlignment="1">
      <alignment horizontal="center"/>
    </xf>
    <xf numFmtId="0" fontId="49" fillId="0" borderId="11" xfId="0" applyFont="1" applyBorder="1" applyAlignment="1">
      <alignment horizontal="center"/>
    </xf>
    <xf numFmtId="170" fontId="6" fillId="3" borderId="6" xfId="0" applyNumberFormat="1" applyFont="1" applyFill="1" applyBorder="1" applyAlignment="1">
      <alignment horizontal="center"/>
    </xf>
    <xf numFmtId="170" fontId="6" fillId="3" borderId="7" xfId="0" applyNumberFormat="1" applyFont="1" applyFill="1" applyBorder="1" applyAlignment="1">
      <alignment horizontal="center"/>
    </xf>
    <xf numFmtId="170" fontId="6" fillId="3" borderId="8" xfId="0" applyNumberFormat="1" applyFont="1" applyFill="1" applyBorder="1" applyAlignment="1">
      <alignment horizontal="center"/>
    </xf>
    <xf numFmtId="0" fontId="72" fillId="0" borderId="0" xfId="5" applyFont="1" applyFill="1" applyAlignment="1" applyProtection="1">
      <alignment horizontal="center"/>
    </xf>
    <xf numFmtId="0" fontId="3" fillId="0" borderId="10" xfId="0" applyFont="1" applyBorder="1" applyAlignment="1">
      <alignment horizontal="center"/>
    </xf>
    <xf numFmtId="0" fontId="3" fillId="0" borderId="17" xfId="0" applyFont="1" applyBorder="1" applyAlignment="1">
      <alignment horizontal="center"/>
    </xf>
    <xf numFmtId="0" fontId="3" fillId="0" borderId="11" xfId="0" applyFont="1" applyBorder="1" applyAlignment="1">
      <alignment horizontal="center"/>
    </xf>
    <xf numFmtId="0" fontId="21" fillId="0" borderId="3" xfId="0" applyFont="1" applyFill="1" applyBorder="1" applyAlignment="1">
      <alignment horizontal="center"/>
    </xf>
    <xf numFmtId="0" fontId="21" fillId="0" borderId="4" xfId="0" applyFont="1" applyFill="1" applyBorder="1" applyAlignment="1">
      <alignment horizontal="center"/>
    </xf>
    <xf numFmtId="0" fontId="2" fillId="0" borderId="5" xfId="0" applyFont="1" applyBorder="1" applyAlignment="1">
      <alignment horizontal="center"/>
    </xf>
    <xf numFmtId="0" fontId="2" fillId="0" borderId="5" xfId="0" applyFont="1" applyBorder="1" applyAlignment="1">
      <alignment horizontal="left" vertical="top" indent="1"/>
    </xf>
    <xf numFmtId="0" fontId="2" fillId="0" borderId="10" xfId="0" applyFont="1" applyBorder="1" applyAlignment="1">
      <alignment horizontal="left" wrapText="1" indent="1"/>
    </xf>
    <xf numFmtId="0" fontId="2" fillId="0" borderId="17" xfId="0" applyFont="1" applyBorder="1" applyAlignment="1">
      <alignment horizontal="left" wrapText="1" indent="1"/>
    </xf>
    <xf numFmtId="0" fontId="2" fillId="0" borderId="11" xfId="0" applyFont="1" applyBorder="1" applyAlignment="1">
      <alignment horizontal="left" wrapText="1" indent="1"/>
    </xf>
    <xf numFmtId="0" fontId="2" fillId="0" borderId="14" xfId="0" applyFont="1" applyBorder="1" applyAlignment="1">
      <alignment horizontal="left" wrapText="1" indent="1"/>
    </xf>
    <xf numFmtId="0" fontId="2" fillId="0" borderId="16" xfId="0" applyFont="1" applyBorder="1" applyAlignment="1">
      <alignment horizontal="left" wrapText="1" indent="1"/>
    </xf>
    <xf numFmtId="0" fontId="2" fillId="0" borderId="15" xfId="0" applyFont="1" applyBorder="1" applyAlignment="1">
      <alignment horizontal="left" wrapText="1" indent="1"/>
    </xf>
    <xf numFmtId="0" fontId="2" fillId="0" borderId="3" xfId="0" applyFont="1" applyBorder="1" applyAlignment="1">
      <alignment horizontal="center"/>
    </xf>
    <xf numFmtId="0" fontId="2" fillId="0" borderId="4" xfId="0" applyFont="1" applyBorder="1" applyAlignment="1">
      <alignment horizontal="center"/>
    </xf>
    <xf numFmtId="0" fontId="3" fillId="0" borderId="3" xfId="0" applyFont="1" applyBorder="1" applyAlignment="1">
      <alignment horizontal="left"/>
    </xf>
    <xf numFmtId="0" fontId="3" fillId="0" borderId="9" xfId="0" applyFont="1" applyBorder="1" applyAlignment="1">
      <alignment horizontal="left"/>
    </xf>
    <xf numFmtId="0" fontId="3" fillId="0" borderId="4" xfId="0" applyFont="1" applyBorder="1" applyAlignment="1">
      <alignment horizontal="left"/>
    </xf>
    <xf numFmtId="0" fontId="2" fillId="0" borderId="9" xfId="0" applyFont="1" applyBorder="1" applyAlignment="1">
      <alignment horizontal="center"/>
    </xf>
    <xf numFmtId="0" fontId="2" fillId="0" borderId="12" xfId="0" applyFont="1" applyBorder="1" applyAlignment="1">
      <alignment horizontal="left" vertical="top" wrapText="1"/>
    </xf>
    <xf numFmtId="0" fontId="2" fillId="0" borderId="0"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6" xfId="0" applyFont="1" applyBorder="1" applyAlignment="1">
      <alignment horizontal="left" vertical="top" wrapText="1"/>
    </xf>
    <xf numFmtId="0" fontId="2" fillId="0" borderId="15" xfId="0" applyFont="1" applyBorder="1" applyAlignment="1">
      <alignment horizontal="left" vertical="top" wrapText="1"/>
    </xf>
    <xf numFmtId="0" fontId="2" fillId="1" borderId="61" xfId="0" applyFont="1" applyFill="1" applyBorder="1" applyAlignment="1">
      <alignment horizontal="center"/>
    </xf>
    <xf numFmtId="0" fontId="2" fillId="1" borderId="55" xfId="0" applyFont="1" applyFill="1" applyBorder="1" applyAlignment="1">
      <alignment horizontal="center"/>
    </xf>
    <xf numFmtId="0" fontId="2" fillId="1" borderId="49" xfId="0" applyFont="1" applyFill="1" applyBorder="1" applyAlignment="1">
      <alignment horizontal="center"/>
    </xf>
    <xf numFmtId="0" fontId="2" fillId="0" borderId="62" xfId="0" applyFont="1" applyBorder="1" applyAlignment="1">
      <alignment horizontal="left"/>
    </xf>
    <xf numFmtId="0" fontId="2" fillId="0" borderId="9" xfId="0" applyFont="1" applyBorder="1" applyAlignment="1">
      <alignment horizontal="left"/>
    </xf>
    <xf numFmtId="0" fontId="2" fillId="0" borderId="15" xfId="0" applyNumberFormat="1" applyFont="1" applyFill="1" applyBorder="1" applyAlignment="1">
      <alignment horizontal="left"/>
    </xf>
    <xf numFmtId="0" fontId="2" fillId="0" borderId="8" xfId="0" applyNumberFormat="1" applyFont="1" applyFill="1" applyBorder="1" applyAlignment="1">
      <alignment horizontal="left"/>
    </xf>
    <xf numFmtId="0" fontId="2" fillId="0" borderId="4" xfId="0" applyNumberFormat="1" applyFont="1" applyFill="1" applyBorder="1" applyAlignment="1">
      <alignment horizontal="left"/>
    </xf>
    <xf numFmtId="0" fontId="2" fillId="0" borderId="5" xfId="0" applyNumberFormat="1" applyFont="1" applyFill="1" applyBorder="1" applyAlignment="1">
      <alignment horizontal="left"/>
    </xf>
    <xf numFmtId="0" fontId="2" fillId="0" borderId="63" xfId="0" applyNumberFormat="1" applyFont="1" applyFill="1" applyBorder="1" applyAlignment="1">
      <alignment horizontal="left"/>
    </xf>
    <xf numFmtId="0" fontId="2" fillId="0" borderId="30" xfId="0" applyNumberFormat="1" applyFont="1" applyFill="1" applyBorder="1" applyAlignment="1">
      <alignment horizontal="left"/>
    </xf>
    <xf numFmtId="0" fontId="2" fillId="0" borderId="38" xfId="0" applyNumberFormat="1" applyFont="1" applyFill="1" applyBorder="1" applyAlignment="1">
      <alignment horizontal="left"/>
    </xf>
    <xf numFmtId="0" fontId="2" fillId="0" borderId="33" xfId="0" applyNumberFormat="1" applyFont="1" applyFill="1" applyBorder="1" applyAlignment="1">
      <alignment horizontal="left"/>
    </xf>
    <xf numFmtId="0" fontId="2" fillId="0" borderId="37" xfId="0" applyNumberFormat="1" applyFont="1" applyFill="1" applyBorder="1" applyAlignment="1">
      <alignment horizontal="left"/>
    </xf>
    <xf numFmtId="0" fontId="2" fillId="1" borderId="34" xfId="0" applyNumberFormat="1" applyFont="1" applyFill="1" applyBorder="1" applyAlignment="1">
      <alignment horizontal="center"/>
    </xf>
    <xf numFmtId="0" fontId="2" fillId="1" borderId="35" xfId="0" applyNumberFormat="1" applyFont="1" applyFill="1" applyBorder="1" applyAlignment="1">
      <alignment horizontal="center"/>
    </xf>
    <xf numFmtId="0" fontId="2" fillId="1" borderId="10" xfId="0" applyNumberFormat="1" applyFont="1" applyFill="1" applyBorder="1" applyAlignment="1">
      <alignment horizontal="center"/>
    </xf>
    <xf numFmtId="0" fontId="2" fillId="1" borderId="64" xfId="0" applyNumberFormat="1" applyFont="1" applyFill="1" applyBorder="1" applyAlignment="1">
      <alignment horizontal="center"/>
    </xf>
    <xf numFmtId="0" fontId="2" fillId="0" borderId="65" xfId="0" applyFont="1" applyBorder="1" applyAlignment="1">
      <alignment horizontal="left"/>
    </xf>
    <xf numFmtId="0" fontId="2" fillId="0" borderId="16" xfId="0" applyFont="1" applyBorder="1" applyAlignment="1">
      <alignment horizontal="left"/>
    </xf>
    <xf numFmtId="0" fontId="2" fillId="9" borderId="66" xfId="0" applyFont="1" applyFill="1" applyBorder="1" applyAlignment="1">
      <alignment horizontal="center" vertical="center" wrapText="1"/>
    </xf>
    <xf numFmtId="0" fontId="2" fillId="9" borderId="56" xfId="0" applyFont="1" applyFill="1" applyBorder="1" applyAlignment="1">
      <alignment horizontal="center" vertical="center" wrapText="1"/>
    </xf>
    <xf numFmtId="0" fontId="2" fillId="9" borderId="67" xfId="0" applyFont="1" applyFill="1" applyBorder="1" applyAlignment="1">
      <alignment horizontal="center" vertical="center" wrapText="1"/>
    </xf>
    <xf numFmtId="0" fontId="2" fillId="6" borderId="66" xfId="0" applyFont="1" applyFill="1" applyBorder="1" applyAlignment="1">
      <alignment horizontal="center" vertical="center" wrapText="1"/>
    </xf>
    <xf numFmtId="0" fontId="2" fillId="6" borderId="56" xfId="0" applyFont="1" applyFill="1" applyBorder="1" applyAlignment="1">
      <alignment horizontal="center" vertical="center" wrapText="1"/>
    </xf>
    <xf numFmtId="0" fontId="2" fillId="6" borderId="67" xfId="0" applyFont="1" applyFill="1" applyBorder="1" applyAlignment="1">
      <alignment horizontal="center" vertical="center" wrapText="1"/>
    </xf>
    <xf numFmtId="0" fontId="2" fillId="0" borderId="40" xfId="0" applyNumberFormat="1" applyFont="1" applyFill="1" applyBorder="1" applyAlignment="1">
      <alignment horizontal="left"/>
    </xf>
    <xf numFmtId="0" fontId="2" fillId="0" borderId="68" xfId="0" applyNumberFormat="1" applyFont="1" applyFill="1" applyBorder="1" applyAlignment="1">
      <alignment horizontal="left"/>
    </xf>
    <xf numFmtId="0" fontId="2" fillId="0" borderId="14" xfId="0" applyFont="1" applyFill="1" applyBorder="1" applyAlignment="1">
      <alignment horizontal="left"/>
    </xf>
    <xf numFmtId="0" fontId="2" fillId="0" borderId="15" xfId="0" applyFont="1" applyFill="1" applyBorder="1" applyAlignment="1">
      <alignment horizontal="left"/>
    </xf>
    <xf numFmtId="0" fontId="2" fillId="0" borderId="3" xfId="0" applyFont="1" applyFill="1" applyBorder="1" applyAlignment="1">
      <alignment horizontal="left"/>
    </xf>
    <xf numFmtId="0" fontId="2" fillId="0" borderId="4" xfId="0" applyFont="1" applyFill="1" applyBorder="1" applyAlignment="1">
      <alignment horizontal="left"/>
    </xf>
    <xf numFmtId="0" fontId="2" fillId="2" borderId="3" xfId="0" applyFont="1" applyFill="1" applyBorder="1" applyAlignment="1" applyProtection="1">
      <alignment horizontal="left"/>
      <protection locked="0"/>
    </xf>
    <xf numFmtId="0" fontId="2" fillId="2" borderId="9" xfId="0" applyFont="1" applyFill="1" applyBorder="1" applyAlignment="1" applyProtection="1">
      <alignment horizontal="left"/>
      <protection locked="0"/>
    </xf>
    <xf numFmtId="0" fontId="2" fillId="2" borderId="4" xfId="0" applyFont="1" applyFill="1" applyBorder="1" applyAlignment="1" applyProtection="1">
      <alignment horizontal="left"/>
      <protection locked="0"/>
    </xf>
    <xf numFmtId="0" fontId="5" fillId="0" borderId="6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71" xfId="0" applyFont="1" applyBorder="1" applyAlignment="1">
      <alignment horizontal="center" vertical="center" wrapText="1"/>
    </xf>
    <xf numFmtId="0" fontId="2" fillId="0" borderId="8" xfId="0" applyFont="1" applyBorder="1" applyAlignment="1">
      <alignment horizontal="left"/>
    </xf>
    <xf numFmtId="0" fontId="2" fillId="0" borderId="5" xfId="0" applyFont="1" applyBorder="1" applyAlignment="1">
      <alignment horizontal="left"/>
    </xf>
    <xf numFmtId="0" fontId="5" fillId="0" borderId="38" xfId="0" applyFont="1" applyBorder="1" applyAlignment="1">
      <alignment horizontal="center"/>
    </xf>
    <xf numFmtId="0" fontId="5" fillId="0" borderId="33" xfId="0" applyFont="1" applyBorder="1" applyAlignment="1">
      <alignment horizontal="center"/>
    </xf>
    <xf numFmtId="0" fontId="5" fillId="0" borderId="39" xfId="0" applyFont="1" applyBorder="1" applyAlignment="1">
      <alignment horizontal="center"/>
    </xf>
    <xf numFmtId="0" fontId="5" fillId="0" borderId="34" xfId="0" applyFont="1" applyBorder="1" applyAlignment="1">
      <alignment horizontal="center" vertical="center" wrapText="1"/>
    </xf>
    <xf numFmtId="0" fontId="5" fillId="0" borderId="36" xfId="0" applyFont="1" applyBorder="1" applyAlignment="1">
      <alignment horizontal="center" vertical="center" wrapText="1"/>
    </xf>
    <xf numFmtId="0" fontId="2" fillId="0" borderId="10" xfId="0" applyFont="1" applyFill="1" applyBorder="1" applyAlignment="1">
      <alignment horizontal="left"/>
    </xf>
    <xf numFmtId="0" fontId="2" fillId="0" borderId="11" xfId="0" applyFont="1" applyFill="1" applyBorder="1" applyAlignment="1">
      <alignment horizontal="left"/>
    </xf>
    <xf numFmtId="0" fontId="2" fillId="1" borderId="31" xfId="0" applyNumberFormat="1" applyFont="1" applyFill="1" applyBorder="1" applyAlignment="1">
      <alignment horizontal="center"/>
    </xf>
    <xf numFmtId="0" fontId="2" fillId="1" borderId="57" xfId="0" applyFont="1" applyFill="1" applyBorder="1" applyAlignment="1">
      <alignment horizontal="center"/>
    </xf>
    <xf numFmtId="0" fontId="2" fillId="1" borderId="56" xfId="0" applyFont="1" applyFill="1" applyBorder="1" applyAlignment="1">
      <alignment horizontal="center"/>
    </xf>
    <xf numFmtId="0" fontId="2" fillId="1" borderId="67" xfId="0" applyFont="1" applyFill="1" applyBorder="1" applyAlignment="1">
      <alignment horizontal="center"/>
    </xf>
    <xf numFmtId="0" fontId="2" fillId="0" borderId="4" xfId="0" applyFont="1" applyBorder="1" applyAlignment="1">
      <alignment horizontal="left"/>
    </xf>
    <xf numFmtId="0" fontId="2" fillId="0" borderId="3" xfId="0" applyFont="1" applyBorder="1" applyAlignment="1">
      <alignment horizontal="left"/>
    </xf>
    <xf numFmtId="0" fontId="2" fillId="0" borderId="20"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2" fillId="0" borderId="27" xfId="0" applyFont="1" applyBorder="1" applyAlignment="1">
      <alignment horizontal="center"/>
    </xf>
    <xf numFmtId="1" fontId="2" fillId="0" borderId="10" xfId="0" applyNumberFormat="1" applyFont="1" applyFill="1" applyBorder="1" applyAlignment="1">
      <alignment horizontal="left"/>
    </xf>
    <xf numFmtId="1" fontId="2" fillId="0" borderId="11" xfId="0" applyNumberFormat="1" applyFont="1" applyFill="1" applyBorder="1" applyAlignment="1">
      <alignment horizontal="left"/>
    </xf>
    <xf numFmtId="0" fontId="3" fillId="0" borderId="72" xfId="0" applyFont="1" applyBorder="1" applyAlignment="1">
      <alignment horizontal="center"/>
    </xf>
    <xf numFmtId="0" fontId="3" fillId="0" borderId="60" xfId="0" applyFont="1" applyBorder="1" applyAlignment="1">
      <alignment horizontal="center"/>
    </xf>
    <xf numFmtId="0" fontId="2" fillId="2" borderId="14" xfId="0" applyFont="1" applyFill="1" applyBorder="1" applyAlignment="1" applyProtection="1">
      <alignment horizontal="left"/>
      <protection locked="0"/>
    </xf>
    <xf numFmtId="0" fontId="2" fillId="2" borderId="16" xfId="0" applyFont="1" applyFill="1" applyBorder="1" applyAlignment="1" applyProtection="1">
      <alignment horizontal="left"/>
      <protection locked="0"/>
    </xf>
    <xf numFmtId="0" fontId="2" fillId="2" borderId="15" xfId="0" applyFont="1" applyFill="1" applyBorder="1" applyAlignment="1" applyProtection="1">
      <alignment horizontal="left"/>
      <protection locked="0"/>
    </xf>
    <xf numFmtId="0" fontId="2" fillId="0" borderId="6" xfId="0" applyFont="1" applyBorder="1" applyAlignment="1">
      <alignment horizontal="left"/>
    </xf>
    <xf numFmtId="0" fontId="2" fillId="1" borderId="12" xfId="0" applyNumberFormat="1" applyFont="1" applyFill="1" applyBorder="1" applyAlignment="1">
      <alignment horizontal="center"/>
    </xf>
    <xf numFmtId="0" fontId="5" fillId="0" borderId="20" xfId="0" applyFont="1" applyBorder="1" applyAlignment="1">
      <alignment horizontal="left" vertical="center" wrapText="1"/>
    </xf>
    <xf numFmtId="0" fontId="5" fillId="0" borderId="70" xfId="0" applyFont="1" applyBorder="1" applyAlignment="1">
      <alignment horizontal="left" vertical="center" wrapText="1"/>
    </xf>
    <xf numFmtId="0" fontId="5" fillId="0" borderId="25" xfId="0" applyFont="1" applyBorder="1" applyAlignment="1">
      <alignment horizontal="left" vertical="center" wrapText="1"/>
    </xf>
    <xf numFmtId="0" fontId="5" fillId="0" borderId="71" xfId="0" applyFont="1" applyBorder="1" applyAlignment="1">
      <alignment horizontal="left" vertical="center" wrapText="1"/>
    </xf>
    <xf numFmtId="0" fontId="6" fillId="9" borderId="20" xfId="5" applyFont="1" applyFill="1" applyBorder="1" applyAlignment="1" applyProtection="1">
      <alignment horizontal="left" vertical="center"/>
      <protection locked="0"/>
    </xf>
    <xf numFmtId="0" fontId="64" fillId="9" borderId="25" xfId="5" applyFont="1" applyFill="1" applyBorder="1" applyAlignment="1" applyProtection="1">
      <alignment horizontal="left" vertical="center"/>
      <protection locked="0"/>
    </xf>
    <xf numFmtId="0" fontId="2" fillId="0" borderId="58" xfId="0" applyFont="1" applyBorder="1" applyAlignment="1">
      <alignment horizontal="right"/>
    </xf>
    <xf numFmtId="0" fontId="2" fillId="0" borderId="72" xfId="0" applyFont="1" applyBorder="1" applyAlignment="1">
      <alignment horizontal="right"/>
    </xf>
    <xf numFmtId="0" fontId="2" fillId="0" borderId="60" xfId="0" applyFont="1" applyBorder="1" applyAlignment="1">
      <alignment horizontal="right"/>
    </xf>
    <xf numFmtId="0" fontId="2" fillId="0" borderId="73" xfId="0" applyFont="1" applyBorder="1" applyAlignment="1">
      <alignment horizontal="left"/>
    </xf>
    <xf numFmtId="0" fontId="2" fillId="0" borderId="54" xfId="0" applyFont="1" applyBorder="1" applyAlignment="1">
      <alignment horizontal="left"/>
    </xf>
    <xf numFmtId="0" fontId="2" fillId="1" borderId="73" xfId="0" applyFont="1" applyFill="1" applyBorder="1" applyAlignment="1">
      <alignment horizontal="center"/>
    </xf>
    <xf numFmtId="0" fontId="2" fillId="1" borderId="54" xfId="0" applyFont="1" applyFill="1" applyBorder="1" applyAlignment="1">
      <alignment horizontal="center"/>
    </xf>
    <xf numFmtId="0" fontId="2" fillId="0" borderId="58" xfId="0" applyFont="1" applyBorder="1" applyAlignment="1">
      <alignment horizontal="center"/>
    </xf>
    <xf numFmtId="0" fontId="2" fillId="0" borderId="72" xfId="0" applyFont="1" applyBorder="1" applyAlignment="1">
      <alignment horizontal="center"/>
    </xf>
    <xf numFmtId="0" fontId="2" fillId="0" borderId="60" xfId="0" applyFont="1" applyBorder="1" applyAlignment="1">
      <alignment horizontal="center"/>
    </xf>
    <xf numFmtId="0" fontId="2" fillId="6" borderId="48" xfId="0" applyFont="1" applyFill="1" applyBorder="1" applyAlignment="1">
      <alignment horizontal="center" vertical="center" wrapText="1"/>
    </xf>
    <xf numFmtId="3" fontId="2" fillId="6" borderId="57" xfId="0" applyNumberFormat="1" applyFont="1" applyFill="1" applyBorder="1" applyAlignment="1">
      <alignment horizontal="center" vertical="center" wrapText="1"/>
    </xf>
    <xf numFmtId="3" fontId="2" fillId="6" borderId="67" xfId="0" applyNumberFormat="1" applyFont="1" applyFill="1" applyBorder="1" applyAlignment="1">
      <alignment horizontal="center" vertical="center" wrapText="1"/>
    </xf>
    <xf numFmtId="2" fontId="2" fillId="2" borderId="5" xfId="0" applyNumberFormat="1" applyFont="1" applyFill="1" applyBorder="1" applyAlignment="1" applyProtection="1">
      <alignment horizontal="center"/>
      <protection locked="0"/>
    </xf>
    <xf numFmtId="2" fontId="2" fillId="2" borderId="30" xfId="0" applyNumberFormat="1" applyFont="1" applyFill="1" applyBorder="1" applyAlignment="1" applyProtection="1">
      <alignment horizontal="center"/>
      <protection locked="0"/>
    </xf>
    <xf numFmtId="2" fontId="2" fillId="2" borderId="29" xfId="0" applyNumberFormat="1" applyFont="1" applyFill="1" applyBorder="1" applyAlignment="1" applyProtection="1">
      <alignment horizontal="center"/>
      <protection locked="0"/>
    </xf>
    <xf numFmtId="0" fontId="2" fillId="2" borderId="62" xfId="0" applyFont="1" applyFill="1" applyBorder="1" applyAlignment="1" applyProtection="1">
      <alignment horizontal="left"/>
      <protection locked="0"/>
    </xf>
    <xf numFmtId="171" fontId="2" fillId="2" borderId="3" xfId="0" applyNumberFormat="1" applyFont="1" applyFill="1" applyBorder="1" applyAlignment="1" applyProtection="1">
      <alignment horizontal="center"/>
      <protection locked="0"/>
    </xf>
    <xf numFmtId="171" fontId="2" fillId="2" borderId="9" xfId="0" applyNumberFormat="1" applyFont="1" applyFill="1" applyBorder="1" applyAlignment="1" applyProtection="1">
      <alignment horizontal="center"/>
      <protection locked="0"/>
    </xf>
    <xf numFmtId="171" fontId="2" fillId="2" borderId="4" xfId="0" applyNumberFormat="1" applyFont="1" applyFill="1" applyBorder="1" applyAlignment="1" applyProtection="1">
      <alignment horizontal="center"/>
      <protection locked="0"/>
    </xf>
    <xf numFmtId="0" fontId="2" fillId="9" borderId="14" xfId="0" applyFont="1" applyFill="1" applyBorder="1" applyAlignment="1">
      <alignment horizontal="center"/>
    </xf>
    <xf numFmtId="0" fontId="2" fillId="9" borderId="16" xfId="0" applyFont="1" applyFill="1" applyBorder="1" applyAlignment="1">
      <alignment horizontal="center"/>
    </xf>
    <xf numFmtId="0" fontId="2" fillId="9" borderId="15" xfId="0" applyFont="1" applyFill="1" applyBorder="1" applyAlignment="1">
      <alignment horizontal="center"/>
    </xf>
    <xf numFmtId="0" fontId="2" fillId="9" borderId="14" xfId="0" applyFont="1" applyFill="1" applyBorder="1" applyAlignment="1">
      <alignment horizontal="left"/>
    </xf>
    <xf numFmtId="0" fontId="2" fillId="9" borderId="16" xfId="0" applyFont="1" applyFill="1" applyBorder="1" applyAlignment="1">
      <alignment horizontal="left"/>
    </xf>
    <xf numFmtId="0" fontId="2" fillId="9" borderId="15" xfId="0" applyFont="1" applyFill="1" applyBorder="1" applyAlignment="1">
      <alignment horizontal="left"/>
    </xf>
    <xf numFmtId="0" fontId="2" fillId="9" borderId="65" xfId="0" applyFont="1" applyFill="1" applyBorder="1" applyAlignment="1">
      <alignment horizontal="left"/>
    </xf>
    <xf numFmtId="0" fontId="2" fillId="2" borderId="73" xfId="0" applyFont="1" applyFill="1" applyBorder="1" applyAlignment="1" applyProtection="1">
      <alignment horizontal="left"/>
      <protection locked="0"/>
    </xf>
    <xf numFmtId="0" fontId="2" fillId="2" borderId="54" xfId="0" applyFont="1" applyFill="1" applyBorder="1" applyAlignment="1" applyProtection="1">
      <alignment horizontal="left"/>
      <protection locked="0"/>
    </xf>
    <xf numFmtId="0" fontId="2" fillId="2" borderId="63" xfId="0" applyFont="1" applyFill="1" applyBorder="1" applyAlignment="1" applyProtection="1">
      <alignment horizontal="left"/>
      <protection locked="0"/>
    </xf>
    <xf numFmtId="0" fontId="3" fillId="9" borderId="58" xfId="0" applyFont="1" applyFill="1" applyBorder="1" applyAlignment="1">
      <alignment horizontal="center"/>
    </xf>
    <xf numFmtId="0" fontId="3" fillId="9" borderId="72" xfId="0" applyFont="1" applyFill="1" applyBorder="1" applyAlignment="1">
      <alignment horizontal="center"/>
    </xf>
    <xf numFmtId="0" fontId="3" fillId="9" borderId="60" xfId="0" applyFont="1" applyFill="1" applyBorder="1" applyAlignment="1">
      <alignment horizontal="center"/>
    </xf>
    <xf numFmtId="171" fontId="2" fillId="2" borderId="74" xfId="0" applyNumberFormat="1" applyFont="1" applyFill="1" applyBorder="1" applyAlignment="1" applyProtection="1">
      <alignment horizontal="center"/>
      <protection locked="0"/>
    </xf>
    <xf numFmtId="1" fontId="2" fillId="2" borderId="62" xfId="0" applyNumberFormat="1" applyFont="1" applyFill="1" applyBorder="1" applyAlignment="1" applyProtection="1">
      <alignment horizontal="left"/>
      <protection locked="0"/>
    </xf>
    <xf numFmtId="1" fontId="2" fillId="2" borderId="9" xfId="0" applyNumberFormat="1" applyFont="1" applyFill="1" applyBorder="1" applyAlignment="1" applyProtection="1">
      <alignment horizontal="left"/>
      <protection locked="0"/>
    </xf>
    <xf numFmtId="1" fontId="2" fillId="2" borderId="4" xfId="0" applyNumberFormat="1" applyFont="1" applyFill="1" applyBorder="1" applyAlignment="1" applyProtection="1">
      <alignment horizontal="left"/>
      <protection locked="0"/>
    </xf>
    <xf numFmtId="0" fontId="2" fillId="2" borderId="52" xfId="0" applyFont="1" applyFill="1" applyBorder="1" applyAlignment="1" applyProtection="1">
      <alignment horizontal="left"/>
      <protection locked="0"/>
    </xf>
    <xf numFmtId="0" fontId="2" fillId="9" borderId="0" xfId="0" applyFont="1" applyFill="1" applyBorder="1" applyAlignment="1">
      <alignment horizontal="center"/>
    </xf>
    <xf numFmtId="0" fontId="2" fillId="9" borderId="76" xfId="0" applyFont="1" applyFill="1" applyBorder="1" applyAlignment="1">
      <alignment horizontal="center"/>
    </xf>
    <xf numFmtId="2" fontId="2" fillId="2" borderId="32" xfId="0" applyNumberFormat="1" applyFont="1" applyFill="1" applyBorder="1" applyAlignment="1" applyProtection="1">
      <alignment horizontal="center"/>
      <protection locked="0"/>
    </xf>
    <xf numFmtId="0" fontId="2" fillId="9" borderId="8" xfId="0" applyFont="1" applyFill="1" applyBorder="1" applyAlignment="1">
      <alignment horizontal="center"/>
    </xf>
    <xf numFmtId="0" fontId="2" fillId="9" borderId="31" xfId="0" applyFont="1" applyFill="1" applyBorder="1" applyAlignment="1">
      <alignment horizontal="center"/>
    </xf>
    <xf numFmtId="1" fontId="2" fillId="8" borderId="3" xfId="0" applyNumberFormat="1" applyFont="1" applyFill="1" applyBorder="1" applyAlignment="1">
      <alignment horizontal="center"/>
    </xf>
    <xf numFmtId="1" fontId="2" fillId="8" borderId="9" xfId="0" applyNumberFormat="1" applyFont="1" applyFill="1" applyBorder="1" applyAlignment="1">
      <alignment horizontal="center"/>
    </xf>
    <xf numFmtId="1" fontId="2" fillId="8" borderId="4" xfId="0" applyNumberFormat="1" applyFont="1" applyFill="1" applyBorder="1" applyAlignment="1">
      <alignment horizontal="center"/>
    </xf>
    <xf numFmtId="0" fontId="2" fillId="2" borderId="52" xfId="0" applyFont="1" applyFill="1" applyBorder="1" applyAlignment="1" applyProtection="1">
      <alignment horizontal="center"/>
      <protection locked="0"/>
    </xf>
    <xf numFmtId="0" fontId="2" fillId="2" borderId="54" xfId="0" applyFont="1" applyFill="1" applyBorder="1" applyAlignment="1" applyProtection="1">
      <alignment horizontal="center"/>
      <protection locked="0"/>
    </xf>
    <xf numFmtId="0" fontId="2" fillId="2" borderId="63"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2" fillId="2" borderId="9" xfId="0" applyFont="1" applyFill="1" applyBorder="1" applyAlignment="1" applyProtection="1">
      <alignment horizontal="center"/>
      <protection locked="0"/>
    </xf>
    <xf numFmtId="0" fontId="2" fillId="2" borderId="4" xfId="0" applyFont="1" applyFill="1" applyBorder="1" applyAlignment="1" applyProtection="1">
      <alignment horizontal="center"/>
      <protection locked="0"/>
    </xf>
    <xf numFmtId="0" fontId="2" fillId="9" borderId="3" xfId="0" applyFont="1" applyFill="1" applyBorder="1" applyAlignment="1">
      <alignment horizontal="center"/>
    </xf>
    <xf numFmtId="0" fontId="2" fillId="9" borderId="9" xfId="0" applyFont="1" applyFill="1" applyBorder="1" applyAlignment="1">
      <alignment horizontal="center"/>
    </xf>
    <xf numFmtId="0" fontId="2" fillId="9" borderId="4" xfId="0" applyFont="1" applyFill="1" applyBorder="1" applyAlignment="1">
      <alignment horizontal="center"/>
    </xf>
    <xf numFmtId="0" fontId="33" fillId="9" borderId="8" xfId="0" applyFont="1" applyFill="1" applyBorder="1" applyAlignment="1">
      <alignment horizontal="center"/>
    </xf>
    <xf numFmtId="0" fontId="33" fillId="9" borderId="31" xfId="0" applyFont="1" applyFill="1" applyBorder="1" applyAlignment="1">
      <alignment horizontal="center"/>
    </xf>
    <xf numFmtId="0" fontId="2" fillId="2" borderId="74" xfId="0" applyFont="1" applyFill="1" applyBorder="1" applyAlignment="1" applyProtection="1">
      <alignment horizontal="center"/>
      <protection locked="0"/>
    </xf>
    <xf numFmtId="1" fontId="2" fillId="8" borderId="74" xfId="0" applyNumberFormat="1" applyFont="1" applyFill="1" applyBorder="1" applyAlignment="1">
      <alignment horizontal="center"/>
    </xf>
    <xf numFmtId="0" fontId="2" fillId="2" borderId="75" xfId="0" applyFont="1" applyFill="1" applyBorder="1" applyAlignment="1" applyProtection="1">
      <alignment horizontal="center"/>
      <protection locked="0"/>
    </xf>
    <xf numFmtId="0" fontId="2" fillId="9" borderId="74" xfId="0" applyFont="1" applyFill="1" applyBorder="1" applyAlignment="1">
      <alignment horizontal="center"/>
    </xf>
    <xf numFmtId="171" fontId="2" fillId="2" borderId="52" xfId="0" applyNumberFormat="1" applyFont="1" applyFill="1" applyBorder="1" applyAlignment="1" applyProtection="1">
      <alignment horizontal="center"/>
      <protection locked="0"/>
    </xf>
    <xf numFmtId="171" fontId="2" fillId="2" borderId="54" xfId="0" applyNumberFormat="1" applyFont="1" applyFill="1" applyBorder="1" applyAlignment="1" applyProtection="1">
      <alignment horizontal="center"/>
      <protection locked="0"/>
    </xf>
    <xf numFmtId="171" fontId="2" fillId="2" borderId="63" xfId="0" applyNumberFormat="1" applyFont="1" applyFill="1" applyBorder="1" applyAlignment="1" applyProtection="1">
      <alignment horizontal="center"/>
      <protection locked="0"/>
    </xf>
    <xf numFmtId="0" fontId="2" fillId="5" borderId="0" xfId="0" applyFont="1" applyFill="1" applyBorder="1" applyAlignment="1">
      <alignment horizontal="center"/>
    </xf>
    <xf numFmtId="171" fontId="2" fillId="2" borderId="75" xfId="0" applyNumberFormat="1" applyFont="1" applyFill="1" applyBorder="1" applyAlignment="1" applyProtection="1">
      <alignment horizontal="center"/>
      <protection locked="0"/>
    </xf>
    <xf numFmtId="171" fontId="2" fillId="5" borderId="0" xfId="0" applyNumberFormat="1" applyFont="1" applyFill="1" applyBorder="1" applyAlignment="1">
      <alignment horizontal="center"/>
    </xf>
    <xf numFmtId="1" fontId="2" fillId="2" borderId="73" xfId="0" applyNumberFormat="1" applyFont="1" applyFill="1" applyBorder="1" applyAlignment="1" applyProtection="1">
      <alignment horizontal="left"/>
      <protection locked="0"/>
    </xf>
    <xf numFmtId="1" fontId="2" fillId="2" borderId="54" xfId="0" applyNumberFormat="1" applyFont="1" applyFill="1" applyBorder="1" applyAlignment="1" applyProtection="1">
      <alignment horizontal="left"/>
      <protection locked="0"/>
    </xf>
    <xf numFmtId="1" fontId="2" fillId="2" borderId="63" xfId="0" applyNumberFormat="1" applyFont="1" applyFill="1" applyBorder="1" applyAlignment="1" applyProtection="1">
      <alignment horizontal="left"/>
      <protection locked="0"/>
    </xf>
    <xf numFmtId="0" fontId="2" fillId="9" borderId="51" xfId="0" applyFont="1" applyFill="1" applyBorder="1" applyAlignment="1">
      <alignment horizontal="center"/>
    </xf>
    <xf numFmtId="0" fontId="2" fillId="9" borderId="77" xfId="0" applyFont="1" applyFill="1" applyBorder="1" applyAlignment="1">
      <alignment horizontal="center"/>
    </xf>
    <xf numFmtId="0" fontId="2" fillId="9" borderId="78" xfId="0" applyFont="1" applyFill="1" applyBorder="1" applyAlignment="1">
      <alignment horizontal="center"/>
    </xf>
    <xf numFmtId="170" fontId="2" fillId="9" borderId="14" xfId="0" applyNumberFormat="1" applyFont="1" applyFill="1" applyBorder="1" applyAlignment="1">
      <alignment horizontal="center"/>
    </xf>
    <xf numFmtId="170" fontId="2" fillId="9" borderId="16" xfId="0" applyNumberFormat="1" applyFont="1" applyFill="1" applyBorder="1" applyAlignment="1">
      <alignment horizontal="center"/>
    </xf>
    <xf numFmtId="170" fontId="2" fillId="9" borderId="76" xfId="0" applyNumberFormat="1" applyFont="1" applyFill="1" applyBorder="1" applyAlignment="1">
      <alignment horizontal="center"/>
    </xf>
    <xf numFmtId="170" fontId="2" fillId="2" borderId="3" xfId="0" applyNumberFormat="1" applyFont="1" applyFill="1" applyBorder="1" applyAlignment="1" applyProtection="1">
      <alignment horizontal="center"/>
      <protection locked="0"/>
    </xf>
    <xf numFmtId="170" fontId="2" fillId="2" borderId="9" xfId="0" applyNumberFormat="1" applyFont="1" applyFill="1" applyBorder="1" applyAlignment="1" applyProtection="1">
      <alignment horizontal="center"/>
      <protection locked="0"/>
    </xf>
    <xf numFmtId="170" fontId="2" fillId="2" borderId="74" xfId="0" applyNumberFormat="1" applyFont="1" applyFill="1" applyBorder="1" applyAlignment="1" applyProtection="1">
      <alignment horizontal="center"/>
      <protection locked="0"/>
    </xf>
    <xf numFmtId="0" fontId="2" fillId="3" borderId="17" xfId="0" applyFont="1" applyFill="1" applyBorder="1" applyAlignment="1">
      <alignment horizontal="center"/>
    </xf>
    <xf numFmtId="0" fontId="2" fillId="3" borderId="41" xfId="0" applyFont="1" applyFill="1" applyBorder="1" applyAlignment="1">
      <alignment horizontal="center"/>
    </xf>
    <xf numFmtId="0" fontId="2" fillId="3" borderId="0" xfId="0" applyFont="1" applyFill="1" applyBorder="1" applyAlignment="1">
      <alignment horizontal="center"/>
    </xf>
    <xf numFmtId="0" fontId="2" fillId="3" borderId="24" xfId="0" applyFont="1" applyFill="1" applyBorder="1" applyAlignment="1">
      <alignment horizontal="center"/>
    </xf>
    <xf numFmtId="0" fontId="2" fillId="3" borderId="26" xfId="0" applyFont="1" applyFill="1" applyBorder="1" applyAlignment="1">
      <alignment horizontal="center"/>
    </xf>
    <xf numFmtId="0" fontId="2" fillId="3" borderId="27" xfId="0" applyFont="1" applyFill="1" applyBorder="1" applyAlignment="1">
      <alignment horizontal="center"/>
    </xf>
    <xf numFmtId="170" fontId="2" fillId="3" borderId="10" xfId="0" applyNumberFormat="1" applyFont="1" applyFill="1" applyBorder="1" applyAlignment="1">
      <alignment horizontal="center"/>
    </xf>
    <xf numFmtId="170" fontId="2" fillId="3" borderId="17" xfId="0" applyNumberFormat="1" applyFont="1" applyFill="1" applyBorder="1" applyAlignment="1">
      <alignment horizontal="center"/>
    </xf>
    <xf numFmtId="170" fontId="2" fillId="3" borderId="12" xfId="0" applyNumberFormat="1" applyFont="1" applyFill="1" applyBorder="1" applyAlignment="1">
      <alignment horizontal="center"/>
    </xf>
    <xf numFmtId="170" fontId="2" fillId="3" borderId="0" xfId="0" applyNumberFormat="1" applyFont="1" applyFill="1" applyBorder="1" applyAlignment="1">
      <alignment horizontal="center"/>
    </xf>
    <xf numFmtId="170" fontId="2" fillId="3" borderId="64" xfId="0" applyNumberFormat="1" applyFont="1" applyFill="1" applyBorder="1" applyAlignment="1">
      <alignment horizontal="center"/>
    </xf>
    <xf numFmtId="170" fontId="2" fillId="3" borderId="26" xfId="0" applyNumberFormat="1" applyFont="1" applyFill="1" applyBorder="1" applyAlignment="1">
      <alignment horizontal="center"/>
    </xf>
    <xf numFmtId="0" fontId="3" fillId="0" borderId="10" xfId="0" applyFont="1" applyBorder="1" applyAlignment="1">
      <alignment horizontal="center" wrapText="1"/>
    </xf>
    <xf numFmtId="0" fontId="3" fillId="0" borderId="17" xfId="0" applyFont="1" applyBorder="1" applyAlignment="1">
      <alignment horizontal="center" wrapText="1"/>
    </xf>
    <xf numFmtId="0" fontId="3" fillId="0" borderId="11" xfId="0" applyFont="1" applyBorder="1" applyAlignment="1">
      <alignment horizontal="center" wrapText="1"/>
    </xf>
    <xf numFmtId="0" fontId="3" fillId="0" borderId="14" xfId="0" applyFont="1" applyBorder="1" applyAlignment="1">
      <alignment horizontal="center" wrapText="1"/>
    </xf>
    <xf numFmtId="0" fontId="3" fillId="0" borderId="16" xfId="0" applyFont="1" applyBorder="1" applyAlignment="1">
      <alignment horizontal="center" wrapText="1"/>
    </xf>
    <xf numFmtId="0" fontId="3" fillId="0" borderId="15" xfId="0" applyFont="1" applyBorder="1" applyAlignment="1">
      <alignment horizontal="center" wrapText="1"/>
    </xf>
    <xf numFmtId="0" fontId="5" fillId="0" borderId="6" xfId="0" applyFont="1" applyBorder="1" applyAlignment="1">
      <alignment horizontal="left" vertical="top" wrapText="1"/>
    </xf>
    <xf numFmtId="0" fontId="0" fillId="0" borderId="7" xfId="0" applyBorder="1" applyAlignment="1">
      <alignment wrapText="1"/>
    </xf>
    <xf numFmtId="0" fontId="0" fillId="0" borderId="8" xfId="0" applyBorder="1" applyAlignment="1">
      <alignment wrapText="1"/>
    </xf>
    <xf numFmtId="0" fontId="5" fillId="0" borderId="9" xfId="0" applyFont="1" applyBorder="1" applyAlignment="1">
      <alignment horizontal="center"/>
    </xf>
    <xf numFmtId="0" fontId="6" fillId="2" borderId="3" xfId="0" applyFont="1" applyFill="1" applyBorder="1" applyAlignment="1">
      <alignment horizontal="left"/>
    </xf>
    <xf numFmtId="0" fontId="0" fillId="0" borderId="9" xfId="0" applyBorder="1" applyAlignment="1">
      <alignment horizontal="left"/>
    </xf>
    <xf numFmtId="0" fontId="5" fillId="0" borderId="3" xfId="0" applyFont="1" applyFill="1" applyBorder="1" applyAlignment="1">
      <alignment horizontal="center"/>
    </xf>
    <xf numFmtId="0" fontId="19" fillId="0" borderId="4" xfId="0" applyFont="1" applyFill="1" applyBorder="1" applyAlignment="1">
      <alignment horizontal="center"/>
    </xf>
    <xf numFmtId="0" fontId="6" fillId="2" borderId="3" xfId="0" applyNumberFormat="1" applyFont="1" applyFill="1" applyBorder="1" applyAlignment="1">
      <alignment horizontal="center"/>
    </xf>
    <xf numFmtId="0" fontId="30" fillId="0" borderId="4" xfId="0" applyNumberFormat="1" applyFont="1" applyBorder="1" applyAlignment="1">
      <alignment horizontal="center"/>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7" fillId="2" borderId="6" xfId="0" applyNumberFormat="1" applyFont="1" applyFill="1" applyBorder="1" applyAlignment="1">
      <alignment horizontal="center" vertical="center"/>
    </xf>
    <xf numFmtId="0" fontId="7" fillId="2" borderId="8" xfId="0" applyNumberFormat="1" applyFont="1" applyFill="1" applyBorder="1" applyAlignment="1">
      <alignment horizontal="center" vertical="center"/>
    </xf>
    <xf numFmtId="0" fontId="2" fillId="0" borderId="6" xfId="0" applyFont="1" applyBorder="1" applyAlignment="1">
      <alignment horizontal="center"/>
    </xf>
    <xf numFmtId="0" fontId="2" fillId="0" borderId="10" xfId="0" applyFont="1" applyBorder="1" applyAlignment="1">
      <alignment horizontal="center" wrapText="1"/>
    </xf>
    <xf numFmtId="0" fontId="0" fillId="0" borderId="17" xfId="0" applyBorder="1" applyAlignment="1">
      <alignment horizontal="center"/>
    </xf>
    <xf numFmtId="0" fontId="2" fillId="0" borderId="12" xfId="0" applyFont="1"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10" xfId="0" applyFont="1" applyBorder="1" applyAlignment="1">
      <alignment horizontal="center"/>
    </xf>
    <xf numFmtId="0" fontId="2" fillId="0" borderId="14" xfId="0" applyFont="1" applyBorder="1" applyAlignment="1">
      <alignment horizontal="center"/>
    </xf>
    <xf numFmtId="0" fontId="0" fillId="0" borderId="16" xfId="0" applyBorder="1" applyAlignment="1">
      <alignment horizontal="center"/>
    </xf>
    <xf numFmtId="0" fontId="2" fillId="0" borderId="15" xfId="0" applyFont="1" applyBorder="1" applyAlignment="1">
      <alignment horizont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xf>
    <xf numFmtId="0" fontId="8" fillId="0" borderId="10" xfId="0" applyFont="1" applyBorder="1" applyAlignment="1">
      <alignment horizontal="center" wrapText="1"/>
    </xf>
    <xf numFmtId="0" fontId="9" fillId="0" borderId="17" xfId="0" applyFont="1" applyBorder="1" applyAlignment="1">
      <alignment horizontal="center" wrapText="1"/>
    </xf>
    <xf numFmtId="0" fontId="9" fillId="0" borderId="11" xfId="0" applyFont="1" applyBorder="1" applyAlignment="1">
      <alignment horizontal="center" wrapText="1"/>
    </xf>
    <xf numFmtId="0" fontId="9" fillId="0" borderId="12" xfId="0" applyFont="1" applyBorder="1" applyAlignment="1">
      <alignment horizontal="center" wrapText="1"/>
    </xf>
    <xf numFmtId="0" fontId="9" fillId="0" borderId="0" xfId="0" applyFont="1" applyBorder="1" applyAlignment="1">
      <alignment horizontal="center" wrapText="1"/>
    </xf>
    <xf numFmtId="0" fontId="9" fillId="0" borderId="13" xfId="0" applyFont="1" applyBorder="1" applyAlignment="1">
      <alignment horizontal="center" wrapText="1"/>
    </xf>
    <xf numFmtId="0" fontId="2" fillId="0" borderId="11" xfId="0" applyFont="1" applyBorder="1" applyAlignment="1">
      <alignment horizontal="center" wrapText="1"/>
    </xf>
    <xf numFmtId="0" fontId="2" fillId="0" borderId="15" xfId="0" applyFont="1" applyBorder="1" applyAlignment="1">
      <alignment horizontal="center" wrapText="1"/>
    </xf>
    <xf numFmtId="0" fontId="2" fillId="0" borderId="8" xfId="0" applyFont="1" applyBorder="1" applyAlignment="1">
      <alignment horizontal="center" wrapText="1"/>
    </xf>
    <xf numFmtId="0" fontId="5" fillId="0" borderId="7" xfId="0" applyFont="1" applyFill="1" applyBorder="1" applyAlignment="1">
      <alignment horizontal="center" vertical="center"/>
    </xf>
    <xf numFmtId="0" fontId="19" fillId="0" borderId="8" xfId="0" applyFont="1" applyFill="1" applyBorder="1" applyAlignment="1">
      <alignment horizontal="center"/>
    </xf>
    <xf numFmtId="0" fontId="15" fillId="0" borderId="3" xfId="0" applyFont="1" applyBorder="1" applyAlignment="1">
      <alignment horizontal="center"/>
    </xf>
    <xf numFmtId="0" fontId="49" fillId="0" borderId="9" xfId="0" applyFont="1" applyBorder="1" applyAlignment="1">
      <alignment horizontal="center"/>
    </xf>
    <xf numFmtId="0" fontId="49" fillId="0" borderId="4" xfId="0" applyFont="1" applyBorder="1" applyAlignment="1">
      <alignment horizontal="center"/>
    </xf>
    <xf numFmtId="1" fontId="49" fillId="0" borderId="9" xfId="0" applyNumberFormat="1" applyFont="1" applyFill="1" applyBorder="1" applyAlignment="1">
      <alignment horizontal="center"/>
    </xf>
    <xf numFmtId="0" fontId="19" fillId="0" borderId="17" xfId="0" applyFont="1" applyBorder="1" applyAlignment="1">
      <alignment horizontal="left" vertical="top" wrapText="1"/>
    </xf>
    <xf numFmtId="0" fontId="19" fillId="0" borderId="12" xfId="0" applyFont="1" applyBorder="1" applyAlignment="1">
      <alignment horizontal="left" vertical="top" wrapText="1"/>
    </xf>
    <xf numFmtId="0" fontId="19" fillId="0" borderId="0" xfId="0" applyFont="1" applyBorder="1" applyAlignment="1">
      <alignment horizontal="left" vertical="top" wrapText="1"/>
    </xf>
    <xf numFmtId="0" fontId="19" fillId="0" borderId="14" xfId="0" applyFont="1" applyBorder="1" applyAlignment="1">
      <alignment horizontal="left" vertical="top" wrapText="1"/>
    </xf>
    <xf numFmtId="0" fontId="19" fillId="0" borderId="16" xfId="0" applyFont="1" applyBorder="1" applyAlignment="1">
      <alignment horizontal="left" vertical="top" wrapText="1"/>
    </xf>
    <xf numFmtId="0" fontId="0" fillId="0" borderId="15" xfId="0" applyBorder="1" applyAlignment="1">
      <alignment horizontal="left" vertical="top" wrapText="1"/>
    </xf>
    <xf numFmtId="0" fontId="5" fillId="0" borderId="10" xfId="0" applyFont="1" applyBorder="1" applyAlignment="1">
      <alignment horizontal="left" vertical="top"/>
    </xf>
    <xf numFmtId="0" fontId="19" fillId="0" borderId="17" xfId="0" applyFont="1" applyBorder="1" applyAlignment="1">
      <alignment horizontal="left" vertical="top"/>
    </xf>
    <xf numFmtId="0" fontId="0" fillId="0" borderId="11" xfId="0" applyBorder="1" applyAlignment="1">
      <alignment horizontal="left" vertical="top"/>
    </xf>
    <xf numFmtId="0" fontId="19" fillId="0" borderId="12" xfId="0" applyFont="1" applyBorder="1" applyAlignment="1">
      <alignment horizontal="left" vertical="top"/>
    </xf>
    <xf numFmtId="0" fontId="19" fillId="0" borderId="0" xfId="0" applyFont="1" applyBorder="1" applyAlignment="1">
      <alignment horizontal="left" vertical="top"/>
    </xf>
    <xf numFmtId="0" fontId="0" fillId="0" borderId="13" xfId="0" applyBorder="1" applyAlignment="1">
      <alignment horizontal="left" vertical="top"/>
    </xf>
    <xf numFmtId="0" fontId="19" fillId="0" borderId="14" xfId="0" applyFont="1" applyBorder="1" applyAlignment="1">
      <alignment horizontal="left" vertical="top"/>
    </xf>
    <xf numFmtId="0" fontId="19" fillId="0" borderId="16" xfId="0" applyFont="1" applyBorder="1" applyAlignment="1">
      <alignment horizontal="left" vertical="top"/>
    </xf>
    <xf numFmtId="0" fontId="0" fillId="0" borderId="15" xfId="0" applyBorder="1" applyAlignment="1">
      <alignment horizontal="left" vertical="top"/>
    </xf>
    <xf numFmtId="0" fontId="5" fillId="0" borderId="10" xfId="0" applyFont="1" applyFill="1" applyBorder="1" applyAlignment="1">
      <alignment horizontal="left" vertical="top" wrapText="1"/>
    </xf>
    <xf numFmtId="0" fontId="5" fillId="0" borderId="10" xfId="0" applyFont="1" applyBorder="1" applyAlignment="1">
      <alignment horizontal="center"/>
    </xf>
    <xf numFmtId="0" fontId="5" fillId="0" borderId="14" xfId="0" applyFont="1" applyBorder="1" applyAlignment="1">
      <alignment horizontal="center"/>
    </xf>
    <xf numFmtId="0" fontId="19" fillId="0" borderId="17" xfId="0" applyFont="1" applyBorder="1" applyAlignment="1">
      <alignment horizontal="center"/>
    </xf>
    <xf numFmtId="0" fontId="19" fillId="0" borderId="17" xfId="0" applyFont="1" applyBorder="1" applyAlignment="1"/>
    <xf numFmtId="0" fontId="19" fillId="0" borderId="11" xfId="0" applyFont="1" applyBorder="1" applyAlignment="1"/>
    <xf numFmtId="0" fontId="5" fillId="0" borderId="12" xfId="0" applyFont="1" applyBorder="1" applyAlignment="1">
      <alignment horizontal="center"/>
    </xf>
    <xf numFmtId="0" fontId="19" fillId="0" borderId="0" xfId="0" applyFont="1" applyBorder="1" applyAlignment="1">
      <alignment horizontal="center"/>
    </xf>
    <xf numFmtId="0" fontId="19" fillId="0" borderId="0" xfId="0" applyFont="1" applyBorder="1" applyAlignment="1"/>
    <xf numFmtId="0" fontId="19" fillId="0" borderId="13" xfId="0" applyFont="1" applyBorder="1" applyAlignment="1"/>
    <xf numFmtId="0" fontId="19" fillId="0" borderId="16" xfId="0" applyFont="1" applyBorder="1" applyAlignment="1">
      <alignment horizontal="center"/>
    </xf>
    <xf numFmtId="0" fontId="19" fillId="0" borderId="16" xfId="0" applyFont="1" applyBorder="1" applyAlignment="1"/>
    <xf numFmtId="0" fontId="19" fillId="0" borderId="15" xfId="0" applyFont="1" applyBorder="1" applyAlignment="1"/>
    <xf numFmtId="0" fontId="8" fillId="0" borderId="12" xfId="0" applyFont="1" applyBorder="1" applyAlignment="1">
      <alignment horizontal="left" vertical="top" wrapText="1"/>
    </xf>
    <xf numFmtId="0" fontId="9" fillId="0" borderId="0" xfId="0" applyFont="1" applyAlignment="1">
      <alignment horizontal="left" vertical="top" wrapText="1"/>
    </xf>
    <xf numFmtId="0" fontId="9" fillId="0" borderId="0" xfId="0" applyFont="1" applyBorder="1" applyAlignment="1">
      <alignment horizontal="left" vertical="top" wrapText="1"/>
    </xf>
    <xf numFmtId="0" fontId="9" fillId="0" borderId="12" xfId="0" applyFont="1" applyBorder="1" applyAlignment="1">
      <alignment horizontal="left" vertical="top" wrapText="1"/>
    </xf>
    <xf numFmtId="0" fontId="5" fillId="0" borderId="10" xfId="0" applyFont="1" applyBorder="1" applyAlignment="1">
      <alignment horizontal="center" wrapText="1"/>
    </xf>
    <xf numFmtId="0" fontId="19" fillId="0" borderId="9" xfId="0" applyFont="1" applyFill="1" applyBorder="1" applyAlignment="1">
      <alignment horizontal="center"/>
    </xf>
    <xf numFmtId="0" fontId="5" fillId="0" borderId="3" xfId="0" applyFont="1" applyBorder="1" applyAlignment="1">
      <alignment horizontal="left" indent="1"/>
    </xf>
    <xf numFmtId="0" fontId="0" fillId="0" borderId="4" xfId="0" applyBorder="1" applyAlignment="1">
      <alignment horizontal="left" indent="1"/>
    </xf>
    <xf numFmtId="0" fontId="0" fillId="0" borderId="9" xfId="0" applyBorder="1" applyAlignment="1">
      <alignment horizontal="left" indent="1"/>
    </xf>
    <xf numFmtId="0" fontId="5" fillId="0" borderId="12" xfId="0" applyFont="1" applyBorder="1" applyAlignment="1">
      <alignment horizontal="left"/>
    </xf>
    <xf numFmtId="0" fontId="0" fillId="0" borderId="0" xfId="0" applyBorder="1" applyAlignment="1">
      <alignment horizontal="left"/>
    </xf>
    <xf numFmtId="0" fontId="5" fillId="0" borderId="5" xfId="0" applyFont="1" applyFill="1" applyBorder="1" applyAlignment="1">
      <alignment horizontal="center"/>
    </xf>
    <xf numFmtId="0" fontId="5" fillId="0" borderId="5" xfId="0" applyFont="1" applyBorder="1" applyAlignment="1">
      <alignment horizontal="center"/>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19" fillId="0" borderId="9" xfId="0" applyFont="1" applyBorder="1" applyAlignment="1">
      <alignment horizontal="center"/>
    </xf>
    <xf numFmtId="0" fontId="19" fillId="0" borderId="4" xfId="0" applyFont="1" applyBorder="1" applyAlignment="1">
      <alignment horizontal="center"/>
    </xf>
    <xf numFmtId="49" fontId="6" fillId="2" borderId="3" xfId="0" applyNumberFormat="1" applyFont="1" applyFill="1" applyBorder="1" applyAlignment="1">
      <alignment horizontal="left"/>
    </xf>
    <xf numFmtId="49" fontId="6" fillId="2" borderId="4" xfId="0" applyNumberFormat="1" applyFont="1" applyFill="1" applyBorder="1" applyAlignment="1">
      <alignment horizontal="left"/>
    </xf>
    <xf numFmtId="0" fontId="5" fillId="0" borderId="10" xfId="0" applyFont="1" applyBorder="1" applyAlignment="1">
      <alignment horizontal="left" wrapText="1"/>
    </xf>
    <xf numFmtId="0" fontId="19" fillId="0" borderId="17" xfId="0" applyFont="1" applyBorder="1" applyAlignment="1">
      <alignment horizontal="left" wrapText="1"/>
    </xf>
    <xf numFmtId="0" fontId="19" fillId="0" borderId="11" xfId="0" applyFont="1" applyBorder="1" applyAlignment="1">
      <alignment horizontal="left" wrapText="1"/>
    </xf>
    <xf numFmtId="0" fontId="19" fillId="0" borderId="14" xfId="0" applyFont="1" applyBorder="1" applyAlignment="1">
      <alignment horizontal="left" wrapText="1"/>
    </xf>
    <xf numFmtId="0" fontId="19" fillId="0" borderId="16" xfId="0" applyFont="1" applyBorder="1" applyAlignment="1">
      <alignment horizontal="left" wrapText="1"/>
    </xf>
    <xf numFmtId="0" fontId="19" fillId="0" borderId="15" xfId="0" applyFont="1" applyBorder="1" applyAlignment="1">
      <alignment horizontal="left" wrapText="1"/>
    </xf>
    <xf numFmtId="2" fontId="2" fillId="5" borderId="5" xfId="0" applyNumberFormat="1" applyFont="1" applyFill="1" applyBorder="1" applyAlignment="1">
      <alignment horizontal="center"/>
    </xf>
    <xf numFmtId="170" fontId="2" fillId="5" borderId="5" xfId="0" applyNumberFormat="1" applyFont="1" applyFill="1" applyBorder="1" applyAlignment="1">
      <alignment horizontal="center"/>
    </xf>
    <xf numFmtId="170" fontId="2" fillId="2" borderId="30" xfId="0" applyNumberFormat="1" applyFont="1" applyFill="1" applyBorder="1" applyAlignment="1" applyProtection="1">
      <alignment horizontal="center"/>
      <protection locked="0"/>
    </xf>
    <xf numFmtId="0" fontId="2" fillId="2" borderId="5" xfId="0" applyFont="1" applyFill="1" applyBorder="1" applyAlignment="1">
      <alignment horizontal="center"/>
    </xf>
    <xf numFmtId="0" fontId="2" fillId="2" borderId="3" xfId="0" applyFont="1" applyFill="1" applyBorder="1" applyAlignment="1">
      <alignment horizontal="center"/>
    </xf>
    <xf numFmtId="0" fontId="2" fillId="2" borderId="17" xfId="0" applyFont="1" applyFill="1" applyBorder="1" applyAlignment="1" applyProtection="1">
      <alignment horizontal="center"/>
      <protection locked="0"/>
    </xf>
    <xf numFmtId="0" fontId="2" fillId="2" borderId="11" xfId="0" applyFont="1" applyFill="1" applyBorder="1" applyAlignment="1" applyProtection="1">
      <alignment horizontal="center"/>
      <protection locked="0"/>
    </xf>
    <xf numFmtId="0" fontId="2" fillId="2" borderId="10" xfId="0" applyFont="1" applyFill="1" applyBorder="1" applyAlignment="1" applyProtection="1">
      <alignment horizontal="center"/>
      <protection locked="0"/>
    </xf>
    <xf numFmtId="0" fontId="2" fillId="5" borderId="5" xfId="0" applyFont="1" applyFill="1" applyBorder="1" applyAlignment="1">
      <alignment horizontal="center"/>
    </xf>
    <xf numFmtId="170" fontId="2" fillId="2" borderId="5" xfId="0" applyNumberFormat="1" applyFont="1" applyFill="1" applyBorder="1" applyAlignment="1" applyProtection="1">
      <alignment horizontal="center"/>
      <protection locked="0"/>
    </xf>
    <xf numFmtId="1" fontId="2" fillId="2" borderId="52" xfId="0" applyNumberFormat="1" applyFont="1" applyFill="1" applyBorder="1" applyAlignment="1" applyProtection="1">
      <alignment horizontal="center"/>
      <protection locked="0"/>
    </xf>
    <xf numFmtId="1" fontId="2" fillId="2" borderId="63" xfId="0" applyNumberFormat="1" applyFont="1" applyFill="1" applyBorder="1" applyAlignment="1" applyProtection="1">
      <alignment horizontal="center"/>
      <protection locked="0"/>
    </xf>
    <xf numFmtId="1" fontId="2" fillId="2" borderId="3" xfId="0" applyNumberFormat="1" applyFont="1" applyFill="1" applyBorder="1" applyAlignment="1" applyProtection="1">
      <alignment horizontal="center"/>
      <protection locked="0"/>
    </xf>
    <xf numFmtId="1" fontId="2" fillId="2" borderId="4" xfId="0" applyNumberFormat="1" applyFont="1" applyFill="1" applyBorder="1" applyAlignment="1" applyProtection="1">
      <alignment horizontal="center"/>
      <protection locked="0"/>
    </xf>
    <xf numFmtId="0" fontId="2" fillId="2" borderId="10" xfId="0" applyFont="1" applyFill="1" applyBorder="1" applyAlignment="1" applyProtection="1">
      <alignment horizontal="center" vertical="center"/>
      <protection locked="0"/>
    </xf>
    <xf numFmtId="0" fontId="2" fillId="2" borderId="17" xfId="0" applyFont="1" applyFill="1" applyBorder="1" applyAlignment="1" applyProtection="1">
      <alignment horizontal="center" vertical="center"/>
      <protection locked="0"/>
    </xf>
    <xf numFmtId="0" fontId="2" fillId="2" borderId="41"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24" xfId="0" applyFont="1" applyFill="1" applyBorder="1" applyAlignment="1" applyProtection="1">
      <alignment horizontal="center" vertical="center"/>
      <protection locked="0"/>
    </xf>
    <xf numFmtId="0" fontId="2" fillId="9" borderId="5" xfId="0" applyFont="1" applyFill="1" applyBorder="1" applyAlignment="1">
      <alignment horizontal="center"/>
    </xf>
    <xf numFmtId="0" fontId="2" fillId="9" borderId="12" xfId="0" applyFont="1" applyFill="1" applyBorder="1" applyAlignment="1">
      <alignment horizontal="center" vertical="center"/>
    </xf>
    <xf numFmtId="0" fontId="2" fillId="9" borderId="0" xfId="0" applyFont="1" applyFill="1" applyBorder="1" applyAlignment="1">
      <alignment horizontal="center" vertical="center"/>
    </xf>
    <xf numFmtId="0" fontId="2" fillId="9" borderId="13" xfId="0" applyFont="1" applyFill="1" applyBorder="1" applyAlignment="1">
      <alignment horizontal="center" vertical="center"/>
    </xf>
    <xf numFmtId="0" fontId="2" fillId="9" borderId="14" xfId="0" applyFont="1" applyFill="1" applyBorder="1" applyAlignment="1">
      <alignment horizontal="center" vertical="center"/>
    </xf>
    <xf numFmtId="0" fontId="2" fillId="9" borderId="16" xfId="0" applyFont="1" applyFill="1" applyBorder="1" applyAlignment="1">
      <alignment horizontal="center" vertical="center"/>
    </xf>
    <xf numFmtId="0" fontId="2" fillId="9" borderId="15" xfId="0" applyFont="1" applyFill="1" applyBorder="1" applyAlignment="1">
      <alignment horizontal="center" vertical="center"/>
    </xf>
    <xf numFmtId="0" fontId="2" fillId="9" borderId="69" xfId="0" applyFont="1" applyFill="1" applyBorder="1" applyAlignment="1">
      <alignment horizontal="center" vertical="center"/>
    </xf>
    <xf numFmtId="0" fontId="2" fillId="9" borderId="21" xfId="0" applyFont="1" applyFill="1" applyBorder="1" applyAlignment="1">
      <alignment horizontal="center" vertical="center"/>
    </xf>
    <xf numFmtId="0" fontId="2" fillId="9" borderId="70" xfId="0" applyFont="1" applyFill="1" applyBorder="1" applyAlignment="1">
      <alignment horizontal="center" vertical="center"/>
    </xf>
    <xf numFmtId="0" fontId="2" fillId="9" borderId="12" xfId="0" applyFont="1" applyFill="1" applyBorder="1" applyAlignment="1">
      <alignment horizontal="center"/>
    </xf>
    <xf numFmtId="0" fontId="2" fillId="9" borderId="24" xfId="0" applyFont="1" applyFill="1" applyBorder="1" applyAlignment="1">
      <alignment horizontal="center"/>
    </xf>
    <xf numFmtId="0" fontId="2" fillId="9" borderId="3" xfId="0" applyFont="1" applyFill="1" applyBorder="1" applyAlignment="1">
      <alignment horizontal="center" vertical="center"/>
    </xf>
    <xf numFmtId="0" fontId="2" fillId="9" borderId="4" xfId="0" applyFont="1" applyFill="1" applyBorder="1" applyAlignment="1">
      <alignment horizontal="center" vertical="center"/>
    </xf>
    <xf numFmtId="0" fontId="2" fillId="9" borderId="5" xfId="0" applyFont="1" applyFill="1" applyBorder="1" applyAlignment="1">
      <alignment horizontal="center" vertical="center"/>
    </xf>
    <xf numFmtId="0" fontId="2" fillId="9" borderId="20" xfId="0" applyFont="1" applyFill="1" applyBorder="1" applyAlignment="1">
      <alignment horizontal="center" vertical="center"/>
    </xf>
    <xf numFmtId="0" fontId="2" fillId="9" borderId="23" xfId="0" applyFont="1" applyFill="1" applyBorder="1" applyAlignment="1">
      <alignment horizontal="center" vertical="center"/>
    </xf>
    <xf numFmtId="0" fontId="2" fillId="9" borderId="25" xfId="0" applyFont="1" applyFill="1" applyBorder="1" applyAlignment="1">
      <alignment horizontal="center" vertical="center"/>
    </xf>
    <xf numFmtId="0" fontId="2" fillId="9" borderId="26" xfId="0" applyFont="1" applyFill="1" applyBorder="1" applyAlignment="1">
      <alignment horizontal="center" vertical="center"/>
    </xf>
    <xf numFmtId="0" fontId="2" fillId="9" borderId="71" xfId="0" applyFont="1" applyFill="1" applyBorder="1" applyAlignment="1">
      <alignment horizontal="center" vertical="center"/>
    </xf>
    <xf numFmtId="0" fontId="2" fillId="9" borderId="65" xfId="0" applyFont="1" applyFill="1" applyBorder="1" applyAlignment="1">
      <alignment horizontal="center" vertical="center"/>
    </xf>
    <xf numFmtId="0" fontId="2" fillId="6" borderId="5" xfId="0" applyFont="1" applyFill="1" applyBorder="1" applyAlignment="1">
      <alignment horizontal="center"/>
    </xf>
    <xf numFmtId="1" fontId="2" fillId="2" borderId="9" xfId="0" applyNumberFormat="1" applyFont="1" applyFill="1" applyBorder="1" applyAlignment="1" applyProtection="1">
      <alignment horizontal="center"/>
      <protection locked="0"/>
    </xf>
    <xf numFmtId="0" fontId="3" fillId="3" borderId="0" xfId="0" applyFont="1" applyFill="1" applyBorder="1" applyAlignment="1">
      <alignment horizontal="center"/>
    </xf>
    <xf numFmtId="0" fontId="3" fillId="3" borderId="0" xfId="0" applyFont="1" applyFill="1" applyBorder="1" applyAlignment="1">
      <alignment horizontal="center" vertical="center"/>
    </xf>
    <xf numFmtId="1" fontId="2" fillId="2" borderId="14" xfId="0" applyNumberFormat="1" applyFont="1" applyFill="1" applyBorder="1" applyAlignment="1" applyProtection="1">
      <alignment horizontal="center"/>
      <protection locked="0"/>
    </xf>
    <xf numFmtId="1" fontId="2" fillId="2" borderId="15" xfId="0" applyNumberFormat="1" applyFont="1" applyFill="1" applyBorder="1" applyAlignment="1" applyProtection="1">
      <alignment horizontal="center"/>
      <protection locked="0"/>
    </xf>
    <xf numFmtId="1" fontId="2" fillId="2" borderId="16" xfId="0" applyNumberFormat="1" applyFont="1" applyFill="1" applyBorder="1" applyAlignment="1" applyProtection="1">
      <alignment horizontal="center"/>
      <protection locked="0"/>
    </xf>
    <xf numFmtId="0" fontId="2" fillId="9" borderId="52" xfId="0" applyFont="1" applyFill="1" applyBorder="1" applyAlignment="1">
      <alignment horizontal="center" vertical="center"/>
    </xf>
    <xf numFmtId="0" fontId="2" fillId="9" borderId="63" xfId="0" applyFont="1" applyFill="1" applyBorder="1" applyAlignment="1">
      <alignment horizontal="center" vertical="center"/>
    </xf>
    <xf numFmtId="0" fontId="2" fillId="9" borderId="54" xfId="0" applyFont="1" applyFill="1" applyBorder="1" applyAlignment="1">
      <alignment horizontal="center" vertical="center"/>
    </xf>
    <xf numFmtId="0" fontId="2" fillId="9" borderId="69" xfId="0" applyFont="1" applyFill="1" applyBorder="1" applyAlignment="1">
      <alignment horizontal="center" vertical="center" wrapText="1"/>
    </xf>
    <xf numFmtId="0" fontId="2" fillId="9" borderId="21" xfId="0" applyFont="1" applyFill="1" applyBorder="1" applyAlignment="1">
      <alignment horizontal="center" vertical="center" wrapText="1"/>
    </xf>
    <xf numFmtId="0" fontId="2" fillId="9" borderId="70" xfId="0" applyFont="1" applyFill="1" applyBorder="1" applyAlignment="1">
      <alignment horizontal="center" vertical="center" wrapText="1"/>
    </xf>
    <xf numFmtId="0" fontId="2" fillId="9" borderId="12" xfId="0" applyFont="1" applyFill="1" applyBorder="1" applyAlignment="1">
      <alignment horizontal="center" vertical="center" wrapText="1"/>
    </xf>
    <xf numFmtId="0" fontId="2" fillId="9" borderId="0" xfId="0" applyFont="1" applyFill="1" applyBorder="1" applyAlignment="1">
      <alignment horizontal="center" vertical="center" wrapText="1"/>
    </xf>
    <xf numFmtId="0" fontId="2" fillId="9" borderId="13" xfId="0" applyFont="1" applyFill="1" applyBorder="1" applyAlignment="1">
      <alignment horizontal="center" vertical="center" wrapText="1"/>
    </xf>
    <xf numFmtId="0" fontId="2" fillId="9" borderId="64" xfId="0" applyFont="1" applyFill="1" applyBorder="1" applyAlignment="1">
      <alignment horizontal="center" vertical="center" wrapText="1"/>
    </xf>
    <xf numFmtId="0" fontId="2" fillId="9" borderId="26" xfId="0" applyFont="1" applyFill="1" applyBorder="1" applyAlignment="1">
      <alignment horizontal="center" vertical="center" wrapText="1"/>
    </xf>
    <xf numFmtId="0" fontId="2" fillId="9" borderId="71" xfId="0" applyFont="1" applyFill="1" applyBorder="1" applyAlignment="1">
      <alignment horizontal="center" vertical="center" wrapText="1"/>
    </xf>
    <xf numFmtId="0" fontId="2" fillId="2" borderId="0" xfId="0" applyFont="1" applyFill="1" applyBorder="1" applyAlignment="1" applyProtection="1">
      <alignment horizontal="center"/>
      <protection locked="0"/>
    </xf>
    <xf numFmtId="0" fontId="2" fillId="5" borderId="73" xfId="0" applyFont="1" applyFill="1" applyBorder="1" applyAlignment="1">
      <alignment horizontal="left"/>
    </xf>
    <xf numFmtId="0" fontId="2" fillId="5" borderId="54" xfId="0" applyFont="1" applyFill="1" applyBorder="1" applyAlignment="1">
      <alignment horizontal="left"/>
    </xf>
    <xf numFmtId="0" fontId="2" fillId="5" borderId="75" xfId="0" applyFont="1" applyFill="1" applyBorder="1" applyAlignment="1">
      <alignment horizontal="left"/>
    </xf>
    <xf numFmtId="0" fontId="22" fillId="0" borderId="58" xfId="5" applyFont="1" applyFill="1" applyBorder="1" applyAlignment="1" applyProtection="1">
      <alignment horizontal="center"/>
    </xf>
    <xf numFmtId="0" fontId="68" fillId="0" borderId="72" xfId="5" applyFont="1" applyFill="1" applyBorder="1" applyAlignment="1" applyProtection="1">
      <alignment horizontal="center"/>
    </xf>
    <xf numFmtId="0" fontId="3" fillId="3" borderId="21" xfId="0" applyFont="1" applyFill="1" applyBorder="1" applyAlignment="1">
      <alignment horizontal="center"/>
    </xf>
    <xf numFmtId="0" fontId="2" fillId="5" borderId="62" xfId="0" applyFont="1" applyFill="1" applyBorder="1" applyAlignment="1">
      <alignment horizontal="left"/>
    </xf>
    <xf numFmtId="0" fontId="2" fillId="5" borderId="9" xfId="0" applyFont="1" applyFill="1" applyBorder="1" applyAlignment="1">
      <alignment horizontal="left"/>
    </xf>
    <xf numFmtId="0" fontId="2" fillId="5" borderId="74" xfId="0" applyFont="1" applyFill="1" applyBorder="1" applyAlignment="1">
      <alignment horizontal="left"/>
    </xf>
    <xf numFmtId="0" fontId="2" fillId="5" borderId="79" xfId="0" applyFont="1" applyFill="1" applyBorder="1" applyAlignment="1">
      <alignment horizontal="left"/>
    </xf>
    <xf numFmtId="0" fontId="2" fillId="5" borderId="77" xfId="0" applyFont="1" applyFill="1" applyBorder="1" applyAlignment="1">
      <alignment horizontal="left"/>
    </xf>
    <xf numFmtId="0" fontId="2" fillId="5" borderId="78" xfId="0" applyFont="1" applyFill="1" applyBorder="1" applyAlignment="1">
      <alignment horizontal="left"/>
    </xf>
    <xf numFmtId="0" fontId="5" fillId="0" borderId="12" xfId="0" applyFont="1" applyBorder="1" applyAlignment="1">
      <alignment horizontal="left" vertical="top" wrapText="1"/>
    </xf>
    <xf numFmtId="0" fontId="19" fillId="0" borderId="0" xfId="0" applyFont="1" applyAlignment="1">
      <alignment horizontal="left" vertical="top" wrapText="1"/>
    </xf>
    <xf numFmtId="0" fontId="15" fillId="0" borderId="5" xfId="0" applyFont="1" applyBorder="1" applyAlignment="1">
      <alignment horizontal="center"/>
    </xf>
    <xf numFmtId="0" fontId="49" fillId="0" borderId="5" xfId="0" applyFont="1" applyBorder="1" applyAlignment="1">
      <alignment horizontal="center"/>
    </xf>
    <xf numFmtId="1" fontId="15" fillId="0" borderId="5" xfId="0" applyNumberFormat="1" applyFont="1" applyFill="1" applyBorder="1" applyAlignment="1">
      <alignment horizontal="center"/>
    </xf>
    <xf numFmtId="1" fontId="49" fillId="0" borderId="5" xfId="0" applyNumberFormat="1" applyFont="1" applyFill="1" applyBorder="1" applyAlignment="1">
      <alignment horizontal="center"/>
    </xf>
    <xf numFmtId="0" fontId="5" fillId="0" borderId="3" xfId="0" applyFont="1" applyBorder="1" applyAlignment="1">
      <alignment horizontal="right"/>
    </xf>
    <xf numFmtId="0" fontId="0" fillId="0" borderId="9" xfId="0" applyBorder="1" applyAlignment="1">
      <alignment horizontal="right"/>
    </xf>
    <xf numFmtId="0" fontId="5" fillId="0" borderId="11" xfId="0" applyFont="1" applyBorder="1" applyAlignment="1">
      <alignment horizontal="left" vertical="top" wrapText="1"/>
    </xf>
    <xf numFmtId="0" fontId="5" fillId="0" borderId="13" xfId="0" applyFont="1" applyBorder="1" applyAlignment="1">
      <alignment horizontal="left" vertical="top" wrapText="1"/>
    </xf>
    <xf numFmtId="0" fontId="19" fillId="0" borderId="12" xfId="0" applyFont="1" applyBorder="1" applyAlignment="1">
      <alignment wrapText="1"/>
    </xf>
    <xf numFmtId="0" fontId="19" fillId="0" borderId="13" xfId="0" applyFont="1" applyBorder="1" applyAlignment="1">
      <alignment wrapText="1"/>
    </xf>
    <xf numFmtId="0" fontId="19" fillId="0" borderId="14" xfId="0" applyFont="1" applyBorder="1" applyAlignment="1">
      <alignment wrapText="1"/>
    </xf>
    <xf numFmtId="0" fontId="19" fillId="0" borderId="15" xfId="0" applyFont="1" applyBorder="1" applyAlignment="1">
      <alignment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10" fillId="0" borderId="10" xfId="0" applyFont="1" applyBorder="1" applyAlignment="1">
      <alignment horizontal="center"/>
    </xf>
    <xf numFmtId="0" fontId="5" fillId="0" borderId="10" xfId="0" applyFont="1" applyBorder="1" applyAlignment="1">
      <alignment horizontal="left"/>
    </xf>
    <xf numFmtId="0" fontId="0" fillId="0" borderId="17" xfId="0" applyBorder="1" applyAlignment="1">
      <alignment horizontal="left"/>
    </xf>
    <xf numFmtId="0" fontId="19" fillId="0" borderId="11" xfId="0" applyFont="1" applyBorder="1" applyAlignment="1">
      <alignment horizontal="left" vertical="top" wrapText="1"/>
    </xf>
    <xf numFmtId="0" fontId="19" fillId="0" borderId="13" xfId="0" applyFont="1" applyBorder="1" applyAlignment="1">
      <alignment horizontal="left" vertical="top" wrapText="1"/>
    </xf>
    <xf numFmtId="0" fontId="8" fillId="0" borderId="12" xfId="0" applyFont="1" applyBorder="1" applyAlignment="1">
      <alignment horizontal="center"/>
    </xf>
    <xf numFmtId="0" fontId="9" fillId="0" borderId="0" xfId="0" applyFont="1" applyBorder="1" applyAlignment="1">
      <alignment horizontal="center"/>
    </xf>
    <xf numFmtId="0" fontId="9" fillId="0" borderId="13" xfId="0" applyFont="1" applyBorder="1" applyAlignment="1">
      <alignment horizontal="center"/>
    </xf>
    <xf numFmtId="0" fontId="2" fillId="5" borderId="4" xfId="0" applyFont="1" applyFill="1" applyBorder="1" applyAlignment="1">
      <alignment horizontal="center"/>
    </xf>
    <xf numFmtId="0" fontId="2" fillId="2" borderId="5" xfId="0" applyFont="1" applyFill="1" applyBorder="1" applyAlignment="1" applyProtection="1">
      <alignment horizontal="center"/>
      <protection locked="0"/>
    </xf>
    <xf numFmtId="0" fontId="18" fillId="0" borderId="58" xfId="5" applyFont="1" applyFill="1" applyBorder="1" applyAlignment="1" applyProtection="1">
      <alignment horizontal="center"/>
    </xf>
    <xf numFmtId="0" fontId="18" fillId="0" borderId="72" xfId="5" applyFont="1" applyFill="1" applyBorder="1" applyAlignment="1" applyProtection="1">
      <alignment horizontal="center"/>
    </xf>
    <xf numFmtId="0" fontId="18" fillId="0" borderId="60" xfId="5" applyFont="1" applyFill="1" applyBorder="1" applyAlignment="1" applyProtection="1">
      <alignment horizontal="center"/>
    </xf>
    <xf numFmtId="0" fontId="2" fillId="2" borderId="1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5" xfId="0" applyFont="1" applyFill="1" applyBorder="1" applyAlignment="1">
      <alignment horizontal="center" vertical="center"/>
    </xf>
    <xf numFmtId="170" fontId="6" fillId="2" borderId="14" xfId="0" applyNumberFormat="1" applyFont="1" applyFill="1" applyBorder="1" applyAlignment="1" applyProtection="1">
      <alignment horizontal="center"/>
      <protection locked="0"/>
    </xf>
    <xf numFmtId="170" fontId="6" fillId="2" borderId="16" xfId="0" applyNumberFormat="1" applyFont="1" applyFill="1" applyBorder="1" applyAlignment="1" applyProtection="1">
      <alignment horizontal="center"/>
      <protection locked="0"/>
    </xf>
    <xf numFmtId="170" fontId="6" fillId="2" borderId="15" xfId="0" applyNumberFormat="1" applyFont="1" applyFill="1" applyBorder="1" applyAlignment="1" applyProtection="1">
      <alignment horizontal="center"/>
      <protection locked="0"/>
    </xf>
    <xf numFmtId="1" fontId="6" fillId="2" borderId="3" xfId="0" applyNumberFormat="1" applyFont="1" applyFill="1" applyBorder="1" applyAlignment="1" applyProtection="1">
      <alignment horizontal="center"/>
      <protection locked="0"/>
    </xf>
    <xf numFmtId="1" fontId="6" fillId="2" borderId="9" xfId="0" applyNumberFormat="1" applyFont="1" applyFill="1" applyBorder="1" applyAlignment="1" applyProtection="1">
      <alignment horizontal="center"/>
      <protection locked="0"/>
    </xf>
    <xf numFmtId="1" fontId="6" fillId="2" borderId="4" xfId="0" applyNumberFormat="1" applyFont="1" applyFill="1" applyBorder="1" applyAlignment="1" applyProtection="1">
      <alignment horizontal="center"/>
      <protection locked="0"/>
    </xf>
    <xf numFmtId="170" fontId="6" fillId="2" borderId="9" xfId="0" applyNumberFormat="1" applyFont="1" applyFill="1" applyBorder="1" applyAlignment="1" applyProtection="1">
      <alignment horizontal="center"/>
      <protection locked="0"/>
    </xf>
    <xf numFmtId="170" fontId="6" fillId="2" borderId="17" xfId="0" applyNumberFormat="1" applyFont="1" applyFill="1" applyBorder="1" applyAlignment="1" applyProtection="1">
      <alignment horizontal="center"/>
      <protection locked="0"/>
    </xf>
    <xf numFmtId="170" fontId="6" fillId="2" borderId="11" xfId="0" applyNumberFormat="1" applyFont="1" applyFill="1" applyBorder="1" applyAlignment="1" applyProtection="1">
      <alignment horizontal="center"/>
      <protection locked="0"/>
    </xf>
    <xf numFmtId="0" fontId="2" fillId="9" borderId="14" xfId="0" applyFont="1" applyFill="1" applyBorder="1" applyAlignment="1">
      <alignment horizontal="center" vertical="center" wrapText="1"/>
    </xf>
    <xf numFmtId="0" fontId="2" fillId="9" borderId="16" xfId="0" applyFont="1" applyFill="1" applyBorder="1" applyAlignment="1">
      <alignment horizontal="center" vertical="center" wrapText="1"/>
    </xf>
    <xf numFmtId="0" fontId="2" fillId="9" borderId="15" xfId="0" applyFont="1" applyFill="1" applyBorder="1" applyAlignment="1">
      <alignment horizontal="center" vertical="center" wrapText="1"/>
    </xf>
    <xf numFmtId="0" fontId="5" fillId="9" borderId="69" xfId="0" applyFont="1" applyFill="1" applyBorder="1" applyAlignment="1">
      <alignment horizontal="center" vertical="center" wrapText="1"/>
    </xf>
    <xf numFmtId="0" fontId="5" fillId="9" borderId="21" xfId="0" applyFont="1" applyFill="1" applyBorder="1" applyAlignment="1">
      <alignment horizontal="center" vertical="center" wrapText="1"/>
    </xf>
    <xf numFmtId="0" fontId="5" fillId="9" borderId="22"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5" fillId="9" borderId="0" xfId="0" applyFont="1" applyFill="1" applyBorder="1" applyAlignment="1">
      <alignment horizontal="center" vertical="center" wrapText="1"/>
    </xf>
    <xf numFmtId="0" fontId="5" fillId="9" borderId="24" xfId="0" applyFont="1" applyFill="1" applyBorder="1" applyAlignment="1">
      <alignment horizontal="center" vertical="center" wrapText="1"/>
    </xf>
    <xf numFmtId="0" fontId="5" fillId="9" borderId="14" xfId="0" applyFont="1" applyFill="1" applyBorder="1" applyAlignment="1">
      <alignment horizontal="center" vertical="center" wrapText="1"/>
    </xf>
    <xf numFmtId="0" fontId="5" fillId="9" borderId="16" xfId="0" applyFont="1" applyFill="1" applyBorder="1" applyAlignment="1">
      <alignment horizontal="center" vertical="center" wrapText="1"/>
    </xf>
    <xf numFmtId="0" fontId="5" fillId="9" borderId="76" xfId="0" applyFont="1" applyFill="1" applyBorder="1" applyAlignment="1">
      <alignment horizontal="center" vertical="center" wrapText="1"/>
    </xf>
    <xf numFmtId="0" fontId="2" fillId="9" borderId="21" xfId="0" applyFont="1" applyFill="1" applyBorder="1" applyAlignment="1">
      <alignment horizontal="center"/>
    </xf>
    <xf numFmtId="0" fontId="2" fillId="9" borderId="70" xfId="0" applyFont="1" applyFill="1" applyBorder="1" applyAlignment="1">
      <alignment horizontal="center"/>
    </xf>
    <xf numFmtId="0" fontId="5" fillId="9" borderId="51" xfId="0" applyFont="1" applyFill="1" applyBorder="1" applyAlignment="1">
      <alignment horizontal="center"/>
    </xf>
    <xf numFmtId="0" fontId="5" fillId="9" borderId="77" xfId="0" applyFont="1" applyFill="1" applyBorder="1" applyAlignment="1">
      <alignment horizontal="center"/>
    </xf>
    <xf numFmtId="0" fontId="5" fillId="9" borderId="68" xfId="0" applyFont="1" applyFill="1" applyBorder="1" applyAlignment="1">
      <alignment horizontal="center"/>
    </xf>
    <xf numFmtId="0" fontId="5" fillId="9" borderId="10" xfId="0" applyFont="1" applyFill="1" applyBorder="1" applyAlignment="1">
      <alignment horizontal="center"/>
    </xf>
    <xf numFmtId="0" fontId="5" fillId="9" borderId="17" xfId="0" applyFont="1" applyFill="1" applyBorder="1" applyAlignment="1">
      <alignment horizontal="center"/>
    </xf>
    <xf numFmtId="0" fontId="5" fillId="9" borderId="11" xfId="0" applyFont="1" applyFill="1" applyBorder="1" applyAlignment="1">
      <alignment horizontal="center"/>
    </xf>
    <xf numFmtId="0" fontId="5" fillId="9" borderId="14" xfId="0" applyFont="1" applyFill="1" applyBorder="1" applyAlignment="1">
      <alignment horizontal="center"/>
    </xf>
    <xf numFmtId="0" fontId="5" fillId="9" borderId="16" xfId="0" applyFont="1" applyFill="1" applyBorder="1" applyAlignment="1">
      <alignment horizontal="center"/>
    </xf>
    <xf numFmtId="0" fontId="5" fillId="9" borderId="15" xfId="0" applyFont="1" applyFill="1" applyBorder="1" applyAlignment="1">
      <alignment horizontal="center"/>
    </xf>
    <xf numFmtId="170" fontId="6" fillId="2" borderId="12" xfId="0" applyNumberFormat="1" applyFont="1" applyFill="1" applyBorder="1" applyAlignment="1" applyProtection="1">
      <alignment horizontal="center"/>
      <protection locked="0"/>
    </xf>
    <xf numFmtId="170" fontId="6" fillId="2" borderId="0" xfId="0" applyNumberFormat="1" applyFont="1" applyFill="1" applyBorder="1" applyAlignment="1" applyProtection="1">
      <alignment horizontal="center"/>
      <protection locked="0"/>
    </xf>
    <xf numFmtId="170" fontId="6" fillId="2" borderId="13" xfId="0" applyNumberFormat="1" applyFont="1" applyFill="1" applyBorder="1" applyAlignment="1" applyProtection="1">
      <alignment horizontal="center"/>
      <protection locked="0"/>
    </xf>
    <xf numFmtId="0" fontId="2" fillId="2" borderId="6" xfId="0" applyFont="1" applyFill="1" applyBorder="1" applyAlignment="1" applyProtection="1">
      <alignment horizontal="center"/>
      <protection locked="0"/>
    </xf>
    <xf numFmtId="170" fontId="6" fillId="2" borderId="76" xfId="0" applyNumberFormat="1" applyFont="1" applyFill="1" applyBorder="1" applyAlignment="1" applyProtection="1">
      <alignment horizontal="center"/>
      <protection locked="0"/>
    </xf>
    <xf numFmtId="170" fontId="6" fillId="2" borderId="24" xfId="0" applyNumberFormat="1" applyFont="1" applyFill="1" applyBorder="1" applyAlignment="1" applyProtection="1">
      <alignment horizontal="center"/>
      <protection locked="0"/>
    </xf>
    <xf numFmtId="0" fontId="5" fillId="9" borderId="12" xfId="0" applyFont="1" applyFill="1" applyBorder="1" applyAlignment="1">
      <alignment horizontal="center"/>
    </xf>
    <xf numFmtId="0" fontId="5" fillId="9" borderId="0" xfId="0" applyFont="1" applyFill="1" applyBorder="1" applyAlignment="1">
      <alignment horizontal="center"/>
    </xf>
    <xf numFmtId="0" fontId="5" fillId="9" borderId="13" xfId="0" applyFont="1" applyFill="1" applyBorder="1" applyAlignment="1">
      <alignment horizontal="center"/>
    </xf>
    <xf numFmtId="0" fontId="2" fillId="9" borderId="10" xfId="0" applyFont="1" applyFill="1" applyBorder="1" applyAlignment="1">
      <alignment horizontal="center"/>
    </xf>
    <xf numFmtId="0" fontId="2" fillId="9" borderId="17" xfId="0" applyFont="1" applyFill="1" applyBorder="1" applyAlignment="1">
      <alignment horizontal="center"/>
    </xf>
    <xf numFmtId="0" fontId="2" fillId="9" borderId="11" xfId="0" applyFont="1" applyFill="1" applyBorder="1" applyAlignment="1">
      <alignment horizontal="center"/>
    </xf>
    <xf numFmtId="0" fontId="2" fillId="2" borderId="80" xfId="0" applyFont="1" applyFill="1" applyBorder="1" applyAlignment="1" applyProtection="1">
      <alignment horizontal="left"/>
      <protection locked="0"/>
    </xf>
    <xf numFmtId="0" fontId="2" fillId="2" borderId="17" xfId="0" applyFont="1" applyFill="1" applyBorder="1" applyAlignment="1" applyProtection="1">
      <alignment horizontal="left"/>
      <protection locked="0"/>
    </xf>
    <xf numFmtId="0" fontId="2" fillId="2" borderId="11" xfId="0" applyFont="1" applyFill="1" applyBorder="1" applyAlignment="1" applyProtection="1">
      <alignment horizontal="left"/>
      <protection locked="0"/>
    </xf>
    <xf numFmtId="170" fontId="2" fillId="2" borderId="6" xfId="0" applyNumberFormat="1" applyFont="1" applyFill="1" applyBorder="1" applyAlignment="1" applyProtection="1">
      <alignment horizontal="center"/>
      <protection locked="0"/>
    </xf>
    <xf numFmtId="1" fontId="6" fillId="2" borderId="10" xfId="0" applyNumberFormat="1" applyFont="1" applyFill="1" applyBorder="1" applyAlignment="1" applyProtection="1">
      <alignment horizontal="center"/>
      <protection locked="0"/>
    </xf>
    <xf numFmtId="1" fontId="6" fillId="2" borderId="17" xfId="0" applyNumberFormat="1" applyFont="1" applyFill="1" applyBorder="1" applyAlignment="1" applyProtection="1">
      <alignment horizontal="center"/>
      <protection locked="0"/>
    </xf>
    <xf numFmtId="1" fontId="6" fillId="2" borderId="11" xfId="0" applyNumberFormat="1" applyFont="1" applyFill="1" applyBorder="1" applyAlignment="1" applyProtection="1">
      <alignment horizontal="center"/>
      <protection locked="0"/>
    </xf>
    <xf numFmtId="0" fontId="4" fillId="0" borderId="72" xfId="5" applyFill="1" applyBorder="1" applyAlignment="1" applyProtection="1">
      <alignment horizontal="center"/>
    </xf>
    <xf numFmtId="0" fontId="4" fillId="0" borderId="60" xfId="5" applyFill="1" applyBorder="1" applyAlignment="1" applyProtection="1">
      <alignment horizontal="center"/>
    </xf>
    <xf numFmtId="0" fontId="2" fillId="2" borderId="37" xfId="0" applyFont="1" applyFill="1" applyBorder="1" applyAlignment="1" applyProtection="1">
      <alignment horizontal="left"/>
      <protection locked="0"/>
    </xf>
    <xf numFmtId="0" fontId="2" fillId="2" borderId="5" xfId="0" applyFont="1" applyFill="1" applyBorder="1" applyAlignment="1" applyProtection="1">
      <alignment horizontal="left"/>
      <protection locked="0"/>
    </xf>
    <xf numFmtId="0" fontId="2" fillId="9" borderId="24" xfId="0" applyFont="1" applyFill="1" applyBorder="1" applyAlignment="1">
      <alignment horizontal="center" vertical="center"/>
    </xf>
    <xf numFmtId="0" fontId="2" fillId="9" borderId="76" xfId="0" applyFont="1" applyFill="1" applyBorder="1" applyAlignment="1">
      <alignment horizontal="center" vertical="center"/>
    </xf>
    <xf numFmtId="0" fontId="2" fillId="2" borderId="29" xfId="0" applyFont="1" applyFill="1" applyBorder="1" applyAlignment="1" applyProtection="1">
      <alignment horizontal="center"/>
      <protection locked="0"/>
    </xf>
    <xf numFmtId="0" fontId="2" fillId="2" borderId="53" xfId="0" applyFont="1" applyFill="1" applyBorder="1" applyAlignment="1" applyProtection="1">
      <alignment horizontal="left"/>
      <protection locked="0"/>
    </xf>
    <xf numFmtId="0" fontId="2" fillId="2" borderId="6" xfId="0" applyFont="1" applyFill="1" applyBorder="1" applyAlignment="1" applyProtection="1">
      <alignment horizontal="left"/>
      <protection locked="0"/>
    </xf>
    <xf numFmtId="0" fontId="2" fillId="2" borderId="42" xfId="0" applyFont="1" applyFill="1" applyBorder="1" applyAlignment="1" applyProtection="1">
      <alignment horizontal="center"/>
      <protection locked="0"/>
    </xf>
    <xf numFmtId="171" fontId="2" fillId="5" borderId="5" xfId="0" applyNumberFormat="1" applyFont="1" applyFill="1" applyBorder="1" applyAlignment="1">
      <alignment horizontal="center"/>
    </xf>
    <xf numFmtId="1" fontId="2" fillId="2" borderId="5" xfId="0" applyNumberFormat="1" applyFont="1" applyFill="1" applyBorder="1" applyAlignment="1" applyProtection="1">
      <alignment horizontal="center"/>
      <protection locked="0"/>
    </xf>
    <xf numFmtId="1" fontId="2" fillId="2" borderId="29" xfId="0" applyNumberFormat="1" applyFont="1" applyFill="1" applyBorder="1" applyAlignment="1" applyProtection="1">
      <alignment horizontal="center"/>
      <protection locked="0"/>
    </xf>
    <xf numFmtId="0" fontId="18" fillId="0" borderId="25" xfId="5" applyFont="1" applyFill="1" applyBorder="1" applyAlignment="1" applyProtection="1">
      <alignment horizontal="center"/>
    </xf>
    <xf numFmtId="0" fontId="64" fillId="0" borderId="26" xfId="5" applyFont="1" applyFill="1" applyBorder="1" applyAlignment="1" applyProtection="1">
      <alignment horizontal="center"/>
    </xf>
    <xf numFmtId="0" fontId="64" fillId="0" borderId="27" xfId="5" applyFont="1" applyFill="1" applyBorder="1" applyAlignment="1" applyProtection="1">
      <alignment horizontal="center"/>
    </xf>
    <xf numFmtId="170" fontId="2" fillId="2" borderId="4" xfId="0" applyNumberFormat="1" applyFont="1" applyFill="1" applyBorder="1" applyAlignment="1" applyProtection="1">
      <alignment horizontal="center"/>
      <protection locked="0"/>
    </xf>
    <xf numFmtId="170" fontId="2" fillId="2" borderId="52" xfId="0" applyNumberFormat="1" applyFont="1" applyFill="1" applyBorder="1" applyAlignment="1" applyProtection="1">
      <alignment horizontal="center"/>
      <protection locked="0"/>
    </xf>
    <xf numFmtId="170" fontId="2" fillId="2" borderId="54" xfId="0" applyNumberFormat="1" applyFont="1" applyFill="1" applyBorder="1" applyAlignment="1" applyProtection="1">
      <alignment horizontal="center"/>
      <protection locked="0"/>
    </xf>
    <xf numFmtId="170" fontId="2" fillId="2" borderId="63" xfId="0" applyNumberFormat="1" applyFont="1" applyFill="1" applyBorder="1" applyAlignment="1" applyProtection="1">
      <alignment horizontal="center"/>
      <protection locked="0"/>
    </xf>
    <xf numFmtId="0" fontId="2" fillId="2" borderId="30" xfId="0" applyFont="1" applyFill="1" applyBorder="1" applyAlignment="1" applyProtection="1">
      <alignment horizontal="center"/>
      <protection locked="0"/>
    </xf>
    <xf numFmtId="0" fontId="2" fillId="2" borderId="32" xfId="0" applyFont="1" applyFill="1" applyBorder="1" applyAlignment="1" applyProtection="1">
      <alignment horizontal="center"/>
      <protection locked="0"/>
    </xf>
    <xf numFmtId="1" fontId="2" fillId="5" borderId="5" xfId="0" applyNumberFormat="1" applyFont="1" applyFill="1" applyBorder="1" applyAlignment="1">
      <alignment horizontal="center"/>
    </xf>
    <xf numFmtId="0" fontId="64" fillId="0" borderId="72" xfId="5" applyFont="1" applyFill="1" applyBorder="1" applyAlignment="1" applyProtection="1">
      <alignment horizontal="center"/>
    </xf>
    <xf numFmtId="0" fontId="64" fillId="0" borderId="60" xfId="5" applyFont="1" applyFill="1" applyBorder="1" applyAlignment="1" applyProtection="1">
      <alignment horizontal="center"/>
    </xf>
    <xf numFmtId="0" fontId="2" fillId="3" borderId="16" xfId="0" applyFont="1" applyFill="1" applyBorder="1" applyAlignment="1">
      <alignment horizontal="center"/>
    </xf>
    <xf numFmtId="0" fontId="2" fillId="9" borderId="33" xfId="0" applyFont="1" applyFill="1" applyBorder="1" applyAlignment="1">
      <alignment horizontal="center"/>
    </xf>
    <xf numFmtId="0" fontId="2" fillId="9" borderId="79" xfId="0" applyFont="1" applyFill="1" applyBorder="1" applyAlignment="1">
      <alignment horizontal="center"/>
    </xf>
    <xf numFmtId="0" fontId="2" fillId="9" borderId="68" xfId="0" applyFont="1" applyFill="1" applyBorder="1" applyAlignment="1">
      <alignment horizontal="center"/>
    </xf>
    <xf numFmtId="0" fontId="2" fillId="9" borderId="39" xfId="0" applyFont="1" applyFill="1" applyBorder="1" applyAlignment="1">
      <alignment horizontal="center"/>
    </xf>
    <xf numFmtId="0" fontId="2" fillId="9" borderId="20" xfId="0" applyFont="1" applyFill="1" applyBorder="1" applyAlignment="1">
      <alignment horizontal="center"/>
    </xf>
    <xf numFmtId="0" fontId="2" fillId="3" borderId="0" xfId="0" applyFont="1" applyFill="1" applyAlignment="1">
      <alignment horizontal="center"/>
    </xf>
    <xf numFmtId="1" fontId="2" fillId="3" borderId="0" xfId="0" applyNumberFormat="1" applyFont="1" applyFill="1" applyAlignment="1">
      <alignment horizontal="center"/>
    </xf>
    <xf numFmtId="0" fontId="2" fillId="2" borderId="37" xfId="0" applyFont="1" applyFill="1" applyBorder="1" applyAlignment="1" applyProtection="1">
      <alignment horizontal="center"/>
      <protection locked="0"/>
    </xf>
    <xf numFmtId="0" fontId="10" fillId="9" borderId="58" xfId="0" applyFont="1" applyFill="1" applyBorder="1" applyAlignment="1">
      <alignment horizontal="center"/>
    </xf>
    <xf numFmtId="0" fontId="10" fillId="9" borderId="72" xfId="0" applyFont="1" applyFill="1" applyBorder="1" applyAlignment="1">
      <alignment horizontal="center"/>
    </xf>
    <xf numFmtId="0" fontId="10" fillId="9" borderId="60" xfId="0" applyFont="1" applyFill="1" applyBorder="1" applyAlignment="1">
      <alignment horizontal="center"/>
    </xf>
    <xf numFmtId="0" fontId="2" fillId="9" borderId="8" xfId="0" applyFont="1" applyFill="1" applyBorder="1" applyAlignment="1">
      <alignment horizontal="center" vertical="center"/>
    </xf>
    <xf numFmtId="0" fontId="2" fillId="9" borderId="49" xfId="0" applyFont="1" applyFill="1" applyBorder="1" applyAlignment="1">
      <alignment horizontal="center"/>
    </xf>
    <xf numFmtId="0" fontId="2" fillId="2" borderId="53" xfId="0" applyFont="1" applyFill="1" applyBorder="1" applyAlignment="1" applyProtection="1">
      <alignment horizontal="center"/>
      <protection locked="0"/>
    </xf>
    <xf numFmtId="0" fontId="2" fillId="2" borderId="10" xfId="0" applyFont="1" applyFill="1" applyBorder="1" applyAlignment="1" applyProtection="1">
      <alignment horizontal="left"/>
      <protection locked="0"/>
    </xf>
    <xf numFmtId="0" fontId="18" fillId="4" borderId="58" xfId="5" applyFont="1" applyFill="1" applyBorder="1" applyAlignment="1" applyProtection="1">
      <alignment horizontal="center"/>
    </xf>
    <xf numFmtId="0" fontId="4" fillId="4" borderId="72" xfId="5" applyFill="1" applyBorder="1" applyAlignment="1" applyProtection="1">
      <alignment horizontal="center"/>
    </xf>
    <xf numFmtId="0" fontId="4" fillId="4" borderId="60" xfId="5" applyFill="1" applyBorder="1" applyAlignment="1" applyProtection="1">
      <alignment horizontal="center"/>
    </xf>
    <xf numFmtId="0" fontId="2" fillId="2" borderId="62" xfId="0" applyFont="1" applyFill="1" applyBorder="1" applyAlignment="1" applyProtection="1">
      <alignment horizontal="center"/>
      <protection locked="0"/>
    </xf>
    <xf numFmtId="0" fontId="10" fillId="9" borderId="20" xfId="0" applyFont="1" applyFill="1" applyBorder="1" applyAlignment="1">
      <alignment horizontal="center"/>
    </xf>
    <xf numFmtId="0" fontId="10" fillId="9" borderId="21" xfId="0" applyFont="1" applyFill="1" applyBorder="1" applyAlignment="1">
      <alignment horizontal="center"/>
    </xf>
    <xf numFmtId="0" fontId="10" fillId="9" borderId="22" xfId="0" applyFont="1" applyFill="1" applyBorder="1" applyAlignment="1">
      <alignment horizontal="center"/>
    </xf>
    <xf numFmtId="0" fontId="10" fillId="9" borderId="25" xfId="0" applyFont="1" applyFill="1" applyBorder="1" applyAlignment="1">
      <alignment horizontal="center"/>
    </xf>
    <xf numFmtId="0" fontId="10" fillId="9" borderId="26" xfId="0" applyFont="1" applyFill="1" applyBorder="1" applyAlignment="1">
      <alignment horizontal="center"/>
    </xf>
    <xf numFmtId="0" fontId="10" fillId="9" borderId="27" xfId="0" applyFont="1" applyFill="1" applyBorder="1" applyAlignment="1">
      <alignment horizontal="center"/>
    </xf>
    <xf numFmtId="0" fontId="2" fillId="2" borderId="73" xfId="0" applyFont="1" applyFill="1" applyBorder="1" applyAlignment="1" applyProtection="1">
      <alignment horizontal="center"/>
      <protection locked="0"/>
    </xf>
    <xf numFmtId="0" fontId="2" fillId="9" borderId="62" xfId="0" applyFont="1" applyFill="1" applyBorder="1" applyAlignment="1">
      <alignment horizontal="left"/>
    </xf>
    <xf numFmtId="0" fontId="2" fillId="9" borderId="9" xfId="0" applyFont="1" applyFill="1" applyBorder="1" applyAlignment="1">
      <alignment horizontal="left"/>
    </xf>
    <xf numFmtId="0" fontId="2" fillId="9" borderId="4" xfId="0" applyFont="1" applyFill="1" applyBorder="1" applyAlignment="1">
      <alignment horizontal="left"/>
    </xf>
    <xf numFmtId="0" fontId="52" fillId="0" borderId="58" xfId="5" applyFont="1" applyFill="1" applyBorder="1" applyAlignment="1" applyProtection="1">
      <alignment horizontal="center"/>
    </xf>
    <xf numFmtId="0" fontId="2" fillId="9" borderId="80" xfId="0" applyFont="1" applyFill="1" applyBorder="1" applyAlignment="1">
      <alignment horizontal="left"/>
    </xf>
    <xf numFmtId="0" fontId="2" fillId="9" borderId="17" xfId="0" applyFont="1" applyFill="1" applyBorder="1" applyAlignment="1">
      <alignment horizontal="left"/>
    </xf>
    <xf numFmtId="0" fontId="2" fillId="9" borderId="11" xfId="0" applyFont="1" applyFill="1" applyBorder="1" applyAlignment="1">
      <alignment horizontal="left"/>
    </xf>
    <xf numFmtId="0" fontId="2" fillId="9" borderId="3" xfId="0" applyFont="1" applyFill="1" applyBorder="1" applyAlignment="1">
      <alignment horizontal="left"/>
    </xf>
    <xf numFmtId="0" fontId="2" fillId="2" borderId="65" xfId="0" applyFont="1" applyFill="1" applyBorder="1" applyAlignment="1" applyProtection="1">
      <alignment horizontal="left"/>
      <protection locked="0"/>
    </xf>
    <xf numFmtId="0" fontId="2" fillId="2" borderId="76" xfId="0" applyFont="1" applyFill="1" applyBorder="1" applyAlignment="1" applyProtection="1">
      <alignment horizontal="left"/>
      <protection locked="0"/>
    </xf>
    <xf numFmtId="0" fontId="2" fillId="2" borderId="14" xfId="0" applyFont="1" applyFill="1" applyBorder="1" applyAlignment="1" applyProtection="1">
      <alignment horizontal="center"/>
      <protection locked="0"/>
    </xf>
    <xf numFmtId="0" fontId="2" fillId="2" borderId="15" xfId="0" applyFont="1" applyFill="1" applyBorder="1" applyAlignment="1" applyProtection="1">
      <alignment horizontal="center"/>
      <protection locked="0"/>
    </xf>
    <xf numFmtId="0" fontId="2" fillId="9" borderId="38" xfId="0" applyFont="1" applyFill="1" applyBorder="1" applyAlignment="1">
      <alignment horizontal="center"/>
    </xf>
    <xf numFmtId="0" fontId="2" fillId="2" borderId="75" xfId="0" applyFont="1" applyFill="1" applyBorder="1" applyAlignment="1" applyProtection="1">
      <alignment horizontal="left"/>
      <protection locked="0"/>
    </xf>
    <xf numFmtId="0" fontId="2" fillId="9" borderId="58" xfId="0" applyFont="1" applyFill="1" applyBorder="1" applyAlignment="1">
      <alignment horizontal="center"/>
    </xf>
    <xf numFmtId="0" fontId="2" fillId="9" borderId="72" xfId="0" applyFont="1" applyFill="1" applyBorder="1" applyAlignment="1">
      <alignment horizontal="center"/>
    </xf>
    <xf numFmtId="0" fontId="2" fillId="9" borderId="60" xfId="0" applyFont="1" applyFill="1" applyBorder="1" applyAlignment="1">
      <alignment horizontal="center"/>
    </xf>
    <xf numFmtId="0" fontId="2" fillId="9" borderId="40" xfId="0" applyFont="1" applyFill="1" applyBorder="1" applyAlignment="1" applyProtection="1">
      <alignment horizontal="left"/>
      <protection locked="0"/>
    </xf>
    <xf numFmtId="0" fontId="2" fillId="9" borderId="30" xfId="0" applyFont="1" applyFill="1" applyBorder="1" applyAlignment="1" applyProtection="1">
      <alignment horizontal="left"/>
      <protection locked="0"/>
    </xf>
    <xf numFmtId="0" fontId="2" fillId="4" borderId="5" xfId="0" applyFont="1" applyFill="1" applyBorder="1" applyAlignment="1" applyProtection="1">
      <alignment horizontal="center"/>
      <protection locked="0"/>
    </xf>
    <xf numFmtId="0" fontId="2" fillId="4" borderId="29" xfId="0" applyFont="1" applyFill="1" applyBorder="1" applyAlignment="1" applyProtection="1">
      <alignment horizontal="center"/>
      <protection locked="0"/>
    </xf>
    <xf numFmtId="0" fontId="2" fillId="9" borderId="65" xfId="0" applyFont="1" applyFill="1" applyBorder="1" applyAlignment="1">
      <alignment horizontal="center"/>
    </xf>
    <xf numFmtId="0" fontId="2" fillId="2" borderId="40" xfId="0" applyFont="1" applyFill="1" applyBorder="1" applyAlignment="1" applyProtection="1">
      <alignment horizontal="left"/>
      <protection locked="0"/>
    </xf>
    <xf numFmtId="0" fontId="2" fillId="2" borderId="30" xfId="0" applyFont="1" applyFill="1" applyBorder="1" applyAlignment="1" applyProtection="1">
      <alignment horizontal="left"/>
      <protection locked="0"/>
    </xf>
    <xf numFmtId="0" fontId="22" fillId="0" borderId="72" xfId="5" applyFont="1" applyFill="1" applyBorder="1" applyAlignment="1" applyProtection="1">
      <alignment horizontal="center"/>
    </xf>
    <xf numFmtId="0" fontId="22" fillId="0" borderId="60" xfId="5" applyFont="1" applyFill="1" applyBorder="1" applyAlignment="1" applyProtection="1">
      <alignment horizontal="center"/>
    </xf>
    <xf numFmtId="0" fontId="2" fillId="4" borderId="6" xfId="0" applyFont="1" applyFill="1" applyBorder="1" applyAlignment="1" applyProtection="1">
      <alignment horizontal="center"/>
      <protection locked="0"/>
    </xf>
    <xf numFmtId="0" fontId="2" fillId="4" borderId="42" xfId="0" applyFont="1" applyFill="1" applyBorder="1" applyAlignment="1" applyProtection="1">
      <alignment horizontal="center"/>
      <protection locked="0"/>
    </xf>
    <xf numFmtId="164" fontId="31" fillId="0" borderId="0" xfId="7" applyFont="1" applyBorder="1" applyAlignment="1">
      <alignment horizontal="left" vertical="top" wrapText="1"/>
    </xf>
    <xf numFmtId="164" fontId="31" fillId="0" borderId="13" xfId="7" applyFont="1" applyBorder="1" applyAlignment="1">
      <alignment horizontal="left" vertical="top" wrapText="1"/>
    </xf>
    <xf numFmtId="164" fontId="31" fillId="0" borderId="16" xfId="7" applyFont="1" applyBorder="1" applyAlignment="1">
      <alignment horizontal="left" vertical="top" wrapText="1"/>
    </xf>
    <xf numFmtId="164" fontId="31" fillId="0" borderId="15" xfId="7" applyFont="1" applyBorder="1" applyAlignment="1">
      <alignment horizontal="left" vertical="top" wrapText="1"/>
    </xf>
    <xf numFmtId="0" fontId="6" fillId="2" borderId="3" xfId="7" applyNumberFormat="1" applyFont="1" applyFill="1" applyBorder="1" applyAlignment="1">
      <alignment horizontal="left"/>
    </xf>
    <xf numFmtId="0" fontId="6" fillId="2" borderId="9" xfId="7" applyNumberFormat="1" applyFont="1" applyFill="1" applyBorder="1" applyAlignment="1">
      <alignment horizontal="left"/>
    </xf>
    <xf numFmtId="0" fontId="6" fillId="2" borderId="4" xfId="7" applyNumberFormat="1" applyFont="1" applyFill="1" applyBorder="1" applyAlignment="1">
      <alignment horizontal="left"/>
    </xf>
    <xf numFmtId="0" fontId="31" fillId="0" borderId="3" xfId="0" applyFont="1" applyBorder="1" applyAlignment="1" applyProtection="1">
      <alignment horizontal="center"/>
    </xf>
    <xf numFmtId="164" fontId="31" fillId="0" borderId="5" xfId="7" applyFont="1" applyBorder="1" applyAlignment="1">
      <alignment horizontal="center"/>
    </xf>
    <xf numFmtId="0" fontId="31" fillId="0" borderId="5" xfId="0" applyFont="1" applyBorder="1" applyAlignment="1">
      <alignment horizontal="center"/>
    </xf>
    <xf numFmtId="164" fontId="31" fillId="0" borderId="12" xfId="7" applyFont="1" applyBorder="1" applyAlignment="1">
      <alignment horizontal="left" vertical="top" wrapText="1"/>
    </xf>
    <xf numFmtId="0" fontId="0" fillId="0" borderId="0" xfId="0" applyBorder="1" applyAlignment="1">
      <alignment horizontal="left" wrapText="1"/>
    </xf>
    <xf numFmtId="164" fontId="5" fillId="0" borderId="6" xfId="7" applyFont="1" applyBorder="1" applyAlignment="1">
      <alignment horizontal="center" vertical="center"/>
    </xf>
    <xf numFmtId="0" fontId="0" fillId="0" borderId="8" xfId="0" applyBorder="1" applyAlignment="1">
      <alignment horizontal="center" vertical="center"/>
    </xf>
    <xf numFmtId="164" fontId="16" fillId="0" borderId="6" xfId="7" applyFont="1" applyBorder="1" applyAlignment="1">
      <alignment horizontal="center" vertical="center"/>
    </xf>
    <xf numFmtId="164" fontId="5" fillId="0" borderId="16" xfId="7" applyFont="1" applyBorder="1" applyAlignment="1">
      <alignment horizontal="center"/>
    </xf>
    <xf numFmtId="164" fontId="10" fillId="0" borderId="17" xfId="7" applyFont="1" applyBorder="1" applyAlignment="1">
      <alignment horizontal="center"/>
    </xf>
    <xf numFmtId="0" fontId="0" fillId="0" borderId="4" xfId="0" applyBorder="1" applyAlignment="1">
      <alignment horizontal="left"/>
    </xf>
    <xf numFmtId="0" fontId="18" fillId="4" borderId="58" xfId="5" applyFont="1" applyFill="1" applyBorder="1" applyAlignment="1" applyProtection="1">
      <alignment horizontal="center"/>
      <protection locked="0"/>
    </xf>
    <xf numFmtId="0" fontId="4" fillId="4" borderId="60" xfId="5" applyFill="1" applyBorder="1" applyAlignment="1" applyProtection="1">
      <alignment horizontal="center"/>
      <protection locked="0"/>
    </xf>
    <xf numFmtId="0" fontId="0" fillId="0" borderId="4" xfId="0" applyBorder="1" applyAlignment="1">
      <alignment horizontal="right"/>
    </xf>
    <xf numFmtId="0" fontId="2" fillId="0" borderId="9" xfId="0" applyFont="1" applyBorder="1" applyAlignment="1">
      <alignment horizontal="right"/>
    </xf>
    <xf numFmtId="0" fontId="23" fillId="0" borderId="9" xfId="0" applyFont="1" applyBorder="1" applyAlignment="1">
      <alignment horizontal="left"/>
    </xf>
    <xf numFmtId="0" fontId="2" fillId="0" borderId="10" xfId="0" applyFont="1" applyBorder="1" applyAlignment="1">
      <alignment horizontal="left" wrapText="1"/>
    </xf>
    <xf numFmtId="0" fontId="0" fillId="0" borderId="17"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0" fontId="0" fillId="0" borderId="0" xfId="0" applyAlignment="1">
      <alignment horizontal="left" wrapText="1"/>
    </xf>
    <xf numFmtId="0" fontId="0" fillId="0" borderId="13" xfId="0" applyBorder="1" applyAlignment="1">
      <alignment horizontal="left" wrapText="1"/>
    </xf>
    <xf numFmtId="0" fontId="0" fillId="0" borderId="14" xfId="0" applyBorder="1" applyAlignment="1">
      <alignment horizontal="left" wrapText="1"/>
    </xf>
    <xf numFmtId="0" fontId="0" fillId="0" borderId="16" xfId="0" applyBorder="1" applyAlignment="1">
      <alignment horizontal="left" wrapText="1"/>
    </xf>
    <xf numFmtId="0" fontId="0" fillId="0" borderId="15" xfId="0" applyBorder="1" applyAlignment="1">
      <alignment horizontal="left" wrapText="1"/>
    </xf>
    <xf numFmtId="0" fontId="2" fillId="0" borderId="10" xfId="0" applyFont="1" applyFill="1" applyBorder="1" applyAlignment="1">
      <alignment horizontal="left" vertical="top" wrapText="1"/>
    </xf>
    <xf numFmtId="0" fontId="2" fillId="0" borderId="17" xfId="0" applyFont="1" applyFill="1" applyBorder="1" applyAlignment="1">
      <alignment horizontal="left" vertical="top" wrapText="1"/>
    </xf>
    <xf numFmtId="0" fontId="23" fillId="0" borderId="17" xfId="0" applyFont="1" applyFill="1" applyBorder="1" applyAlignment="1">
      <alignment horizontal="left" vertical="top" wrapText="1"/>
    </xf>
    <xf numFmtId="0" fontId="23" fillId="0" borderId="17" xfId="0" applyFont="1" applyFill="1" applyBorder="1" applyAlignment="1">
      <alignment wrapText="1"/>
    </xf>
    <xf numFmtId="0" fontId="23" fillId="0" borderId="11" xfId="0" applyFont="1" applyFill="1" applyBorder="1" applyAlignment="1">
      <alignment wrapText="1"/>
    </xf>
    <xf numFmtId="0" fontId="23" fillId="0" borderId="12" xfId="0" applyFont="1" applyFill="1" applyBorder="1" applyAlignment="1">
      <alignment horizontal="left" vertical="top" wrapText="1"/>
    </xf>
    <xf numFmtId="0" fontId="23" fillId="0" borderId="0" xfId="0" applyFont="1" applyFill="1" applyBorder="1" applyAlignment="1">
      <alignment horizontal="left" vertical="top" wrapText="1"/>
    </xf>
    <xf numFmtId="0" fontId="23" fillId="0" borderId="0" xfId="0" applyFont="1" applyFill="1" applyAlignment="1">
      <alignment horizontal="left" vertical="top" wrapText="1"/>
    </xf>
    <xf numFmtId="0" fontId="23" fillId="0" borderId="0" xfId="0" applyFont="1" applyFill="1" applyBorder="1" applyAlignment="1">
      <alignment wrapText="1"/>
    </xf>
    <xf numFmtId="0" fontId="23" fillId="0" borderId="13" xfId="0" applyFont="1" applyFill="1" applyBorder="1" applyAlignment="1">
      <alignment wrapText="1"/>
    </xf>
    <xf numFmtId="0" fontId="0" fillId="0" borderId="16" xfId="0" applyBorder="1" applyAlignment="1">
      <alignment wrapText="1"/>
    </xf>
    <xf numFmtId="0" fontId="3" fillId="0" borderId="3" xfId="0" applyFont="1" applyFill="1" applyBorder="1" applyAlignment="1">
      <alignment horizontal="center"/>
    </xf>
    <xf numFmtId="0" fontId="3" fillId="0" borderId="9" xfId="0" applyFont="1" applyFill="1" applyBorder="1" applyAlignment="1">
      <alignment horizontal="center"/>
    </xf>
    <xf numFmtId="0" fontId="2" fillId="0" borderId="9" xfId="0" applyFont="1" applyBorder="1" applyAlignment="1"/>
    <xf numFmtId="0" fontId="2" fillId="0" borderId="4" xfId="0" applyFont="1" applyBorder="1" applyAlignment="1"/>
    <xf numFmtId="0" fontId="7" fillId="2" borderId="3" xfId="0" applyFont="1" applyFill="1" applyBorder="1" applyAlignment="1">
      <alignment horizontal="center"/>
    </xf>
    <xf numFmtId="0" fontId="34" fillId="0" borderId="9" xfId="0" applyFont="1" applyBorder="1" applyAlignment="1">
      <alignment horizontal="center"/>
    </xf>
    <xf numFmtId="0" fontId="34" fillId="0" borderId="4" xfId="0" applyFont="1" applyBorder="1" applyAlignment="1">
      <alignment horizontal="center"/>
    </xf>
    <xf numFmtId="0" fontId="2" fillId="0" borderId="3" xfId="0" applyFont="1" applyBorder="1" applyAlignment="1">
      <alignment horizontal="right"/>
    </xf>
    <xf numFmtId="0" fontId="1" fillId="0" borderId="9" xfId="0" applyFont="1" applyBorder="1" applyAlignment="1">
      <alignment horizontal="left"/>
    </xf>
    <xf numFmtId="0" fontId="2" fillId="0" borderId="3" xfId="0" applyFont="1" applyFill="1" applyBorder="1" applyAlignment="1">
      <alignment horizontal="center"/>
    </xf>
    <xf numFmtId="0" fontId="2" fillId="0" borderId="9" xfId="0" applyFont="1" applyFill="1" applyBorder="1" applyAlignment="1">
      <alignment horizontal="center"/>
    </xf>
    <xf numFmtId="0" fontId="2" fillId="0" borderId="9" xfId="0" applyFont="1" applyFill="1" applyBorder="1" applyAlignment="1">
      <alignment horizontal="right"/>
    </xf>
    <xf numFmtId="0" fontId="23" fillId="0" borderId="9" xfId="0" applyFont="1" applyBorder="1" applyAlignment="1">
      <alignment horizontal="right"/>
    </xf>
    <xf numFmtId="0" fontId="0" fillId="0" borderId="9" xfId="0" applyBorder="1" applyAlignment="1"/>
    <xf numFmtId="0" fontId="33" fillId="0" borderId="3" xfId="0" applyFont="1" applyBorder="1" applyAlignment="1">
      <alignment horizontal="left" vertical="top" wrapText="1"/>
    </xf>
    <xf numFmtId="0" fontId="33" fillId="0" borderId="9" xfId="0" applyFont="1" applyBorder="1" applyAlignment="1">
      <alignment horizontal="left" vertical="top" wrapText="1"/>
    </xf>
    <xf numFmtId="0" fontId="0" fillId="0" borderId="4" xfId="0" applyBorder="1" applyAlignment="1">
      <alignment wrapText="1"/>
    </xf>
    <xf numFmtId="0" fontId="2" fillId="0" borderId="10"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vertical="top"/>
    </xf>
    <xf numFmtId="0" fontId="0" fillId="0" borderId="4" xfId="0" applyBorder="1" applyAlignment="1">
      <alignment horizontal="center" vertical="top"/>
    </xf>
    <xf numFmtId="0" fontId="16" fillId="0" borderId="10" xfId="0" applyFont="1" applyBorder="1" applyAlignment="1">
      <alignment horizontal="left" vertical="top" wrapText="1"/>
    </xf>
    <xf numFmtId="0" fontId="23" fillId="0" borderId="17" xfId="0" applyFont="1" applyBorder="1" applyAlignment="1">
      <alignment horizontal="left" vertical="top" wrapText="1"/>
    </xf>
    <xf numFmtId="0" fontId="0" fillId="0" borderId="14" xfId="0" applyBorder="1" applyAlignment="1">
      <alignment horizontal="left" vertical="top" wrapText="1"/>
    </xf>
    <xf numFmtId="0" fontId="0" fillId="0" borderId="16" xfId="0" applyBorder="1" applyAlignment="1">
      <alignment horizontal="left" vertical="top" wrapText="1"/>
    </xf>
    <xf numFmtId="0" fontId="23" fillId="0" borderId="9" xfId="0" applyFont="1" applyBorder="1" applyAlignment="1">
      <alignment horizontal="center"/>
    </xf>
    <xf numFmtId="0" fontId="23" fillId="0" borderId="4" xfId="0" applyFont="1" applyBorder="1" applyAlignment="1">
      <alignment horizontal="center"/>
    </xf>
    <xf numFmtId="0" fontId="2" fillId="0" borderId="3" xfId="0" applyFont="1" applyFill="1" applyBorder="1" applyAlignment="1">
      <alignment horizontal="right"/>
    </xf>
    <xf numFmtId="0" fontId="23" fillId="0" borderId="9" xfId="0" applyFont="1" applyFill="1" applyBorder="1" applyAlignment="1">
      <alignment horizontal="right"/>
    </xf>
    <xf numFmtId="0" fontId="0" fillId="0" borderId="9" xfId="0" applyFill="1" applyBorder="1" applyAlignment="1"/>
    <xf numFmtId="0" fontId="0" fillId="0" borderId="4" xfId="0" applyFill="1" applyBorder="1" applyAlignment="1"/>
    <xf numFmtId="0" fontId="0" fillId="0" borderId="11" xfId="0" applyBorder="1"/>
    <xf numFmtId="0" fontId="0" fillId="0" borderId="12" xfId="0" applyBorder="1"/>
    <xf numFmtId="0" fontId="0" fillId="0" borderId="0" xfId="0" applyBorder="1"/>
    <xf numFmtId="0" fontId="0" fillId="0" borderId="13" xfId="0" applyBorder="1"/>
    <xf numFmtId="0" fontId="0" fillId="0" borderId="14" xfId="0" applyBorder="1"/>
    <xf numFmtId="0" fontId="0" fillId="0" borderId="16" xfId="0" applyBorder="1"/>
    <xf numFmtId="0" fontId="0" fillId="0" borderId="15" xfId="0" applyBorder="1"/>
    <xf numFmtId="0" fontId="7" fillId="2" borderId="3" xfId="0" applyFont="1" applyFill="1" applyBorder="1" applyAlignment="1">
      <alignment horizontal="left"/>
    </xf>
    <xf numFmtId="0" fontId="7" fillId="2" borderId="9" xfId="0" applyFont="1" applyFill="1" applyBorder="1" applyAlignment="1">
      <alignment horizontal="left"/>
    </xf>
    <xf numFmtId="0" fontId="7" fillId="2" borderId="4" xfId="0" applyFont="1" applyFill="1" applyBorder="1" applyAlignment="1">
      <alignment horizontal="left"/>
    </xf>
    <xf numFmtId="0" fontId="23" fillId="0" borderId="12" xfId="0" applyFont="1" applyBorder="1" applyAlignment="1">
      <alignment horizontal="left" vertical="top" wrapText="1"/>
    </xf>
    <xf numFmtId="0" fontId="23" fillId="0" borderId="0" xfId="0" applyFont="1" applyBorder="1" applyAlignment="1">
      <alignment horizontal="left" vertical="top" wrapText="1"/>
    </xf>
    <xf numFmtId="0" fontId="23" fillId="0" borderId="0" xfId="0" applyFont="1" applyAlignment="1">
      <alignment horizontal="left" vertical="top" wrapText="1"/>
    </xf>
    <xf numFmtId="0" fontId="3" fillId="0" borderId="10" xfId="0" applyFont="1" applyFill="1" applyBorder="1" applyAlignment="1">
      <alignment horizontal="center"/>
    </xf>
    <xf numFmtId="0" fontId="3" fillId="0" borderId="17" xfId="0" applyFont="1" applyFill="1" applyBorder="1" applyAlignment="1">
      <alignment horizontal="center"/>
    </xf>
    <xf numFmtId="0" fontId="0" fillId="0" borderId="17" xfId="0" applyBorder="1" applyAlignment="1"/>
    <xf numFmtId="0" fontId="0" fillId="0" borderId="11" xfId="0" applyBorder="1" applyAlignment="1"/>
    <xf numFmtId="0" fontId="33" fillId="0" borderId="10" xfId="0" applyFont="1" applyBorder="1" applyAlignment="1">
      <alignment horizontal="left" vertical="top" wrapText="1"/>
    </xf>
    <xf numFmtId="0" fontId="33" fillId="0" borderId="17" xfId="0" applyFont="1" applyBorder="1" applyAlignment="1">
      <alignment horizontal="left" vertical="top" wrapText="1"/>
    </xf>
    <xf numFmtId="0" fontId="33" fillId="0" borderId="14" xfId="0" applyFont="1" applyBorder="1" applyAlignment="1">
      <alignment horizontal="left" vertical="top" wrapText="1"/>
    </xf>
    <xf numFmtId="0" fontId="33" fillId="0" borderId="16" xfId="0" applyFont="1" applyBorder="1" applyAlignment="1">
      <alignment horizontal="left" vertical="top" wrapText="1"/>
    </xf>
    <xf numFmtId="0" fontId="0" fillId="0" borderId="16" xfId="0" applyBorder="1" applyAlignment="1"/>
    <xf numFmtId="1" fontId="2" fillId="0" borderId="9" xfId="0" applyNumberFormat="1" applyFont="1" applyFill="1" applyBorder="1" applyAlignment="1">
      <alignment horizontal="right"/>
    </xf>
    <xf numFmtId="0" fontId="2" fillId="0" borderId="3" xfId="0" applyFont="1" applyFill="1" applyBorder="1" applyAlignment="1">
      <alignment horizontal="center" vertical="top"/>
    </xf>
    <xf numFmtId="0" fontId="23" fillId="0" borderId="4" xfId="0" applyFont="1" applyFill="1" applyBorder="1" applyAlignment="1">
      <alignment horizontal="center" vertical="top"/>
    </xf>
    <xf numFmtId="170" fontId="47" fillId="0" borderId="5" xfId="0" applyNumberFormat="1" applyFont="1" applyFill="1" applyBorder="1" applyAlignment="1">
      <alignment horizontal="center"/>
    </xf>
    <xf numFmtId="0" fontId="47" fillId="0" borderId="5" xfId="0" applyFont="1" applyFill="1" applyBorder="1" applyAlignment="1">
      <alignment horizontal="center"/>
    </xf>
    <xf numFmtId="0" fontId="0" fillId="0" borderId="17" xfId="0" applyBorder="1" applyAlignment="1">
      <alignment wrapText="1"/>
    </xf>
    <xf numFmtId="0" fontId="0" fillId="0" borderId="0" xfId="0" applyBorder="1" applyAlignment="1">
      <alignment wrapText="1"/>
    </xf>
    <xf numFmtId="0" fontId="23" fillId="0" borderId="14" xfId="0" applyFont="1" applyBorder="1" applyAlignment="1">
      <alignment horizontal="left" vertical="top" wrapText="1"/>
    </xf>
    <xf numFmtId="0" fontId="23" fillId="0" borderId="16" xfId="0" applyFont="1" applyBorder="1" applyAlignment="1">
      <alignment horizontal="left" vertical="top" wrapText="1"/>
    </xf>
    <xf numFmtId="0" fontId="2" fillId="0" borderId="9" xfId="0" applyFont="1" applyBorder="1" applyAlignment="1">
      <alignment horizontal="center" vertical="top"/>
    </xf>
    <xf numFmtId="0" fontId="1" fillId="0" borderId="4" xfId="0" applyFont="1" applyFill="1" applyBorder="1" applyAlignment="1">
      <alignment horizontal="center" vertical="top"/>
    </xf>
    <xf numFmtId="0" fontId="2" fillId="0" borderId="17" xfId="0" applyFont="1" applyBorder="1" applyAlignment="1">
      <alignment wrapText="1"/>
    </xf>
    <xf numFmtId="0" fontId="2" fillId="0" borderId="0" xfId="0" applyFont="1" applyAlignment="1">
      <alignment horizontal="left" vertical="top" wrapText="1"/>
    </xf>
    <xf numFmtId="0" fontId="2" fillId="0" borderId="0" xfId="0" applyFont="1" applyBorder="1" applyAlignment="1">
      <alignment wrapText="1"/>
    </xf>
    <xf numFmtId="0" fontId="0" fillId="0" borderId="0" xfId="0" applyAlignment="1">
      <alignment wrapText="1"/>
    </xf>
    <xf numFmtId="0" fontId="2" fillId="0" borderId="16" xfId="0" applyFont="1" applyBorder="1" applyAlignment="1">
      <alignment wrapText="1"/>
    </xf>
    <xf numFmtId="1" fontId="2" fillId="0" borderId="10" xfId="0" applyNumberFormat="1" applyFont="1" applyFill="1" applyBorder="1" applyAlignment="1">
      <alignment horizontal="center"/>
    </xf>
    <xf numFmtId="0" fontId="2" fillId="0" borderId="5" xfId="0" applyNumberFormat="1" applyFont="1" applyFill="1" applyBorder="1" applyAlignment="1">
      <alignment horizontal="center"/>
    </xf>
    <xf numFmtId="0" fontId="23" fillId="0" borderId="5" xfId="0" applyNumberFormat="1" applyFont="1" applyFill="1" applyBorder="1" applyAlignment="1">
      <alignment horizontal="center"/>
    </xf>
    <xf numFmtId="1" fontId="2" fillId="0" borderId="3" xfId="0" applyNumberFormat="1" applyFont="1" applyFill="1" applyBorder="1" applyAlignment="1">
      <alignment horizontal="right"/>
    </xf>
    <xf numFmtId="170" fontId="2" fillId="0" borderId="10" xfId="0" applyNumberFormat="1" applyFont="1" applyFill="1" applyBorder="1" applyAlignment="1">
      <alignment horizontal="left" wrapText="1"/>
    </xf>
    <xf numFmtId="0" fontId="33" fillId="0" borderId="11" xfId="0" applyFont="1" applyBorder="1" applyAlignment="1">
      <alignment horizontal="left" vertical="top" wrapText="1"/>
    </xf>
    <xf numFmtId="0" fontId="33" fillId="0" borderId="12" xfId="0" applyFont="1" applyBorder="1" applyAlignment="1">
      <alignment horizontal="left" vertical="top" wrapText="1"/>
    </xf>
    <xf numFmtId="0" fontId="33" fillId="0" borderId="0" xfId="0" applyFont="1" applyBorder="1" applyAlignment="1">
      <alignment horizontal="left" vertical="top" wrapText="1"/>
    </xf>
    <xf numFmtId="0" fontId="33" fillId="0" borderId="13" xfId="0" applyFont="1" applyBorder="1" applyAlignment="1">
      <alignment horizontal="left" vertical="top" wrapText="1"/>
    </xf>
    <xf numFmtId="0" fontId="33" fillId="0" borderId="15" xfId="0" applyFont="1" applyBorder="1" applyAlignment="1">
      <alignment horizontal="left" vertical="top" wrapText="1"/>
    </xf>
    <xf numFmtId="0" fontId="10" fillId="0" borderId="3" xfId="0" applyFont="1" applyFill="1" applyBorder="1" applyAlignment="1">
      <alignment horizontal="center"/>
    </xf>
    <xf numFmtId="0" fontId="5" fillId="0" borderId="10" xfId="0" applyFont="1" applyFill="1" applyBorder="1" applyAlignment="1">
      <alignment horizontal="center" wrapText="1"/>
    </xf>
    <xf numFmtId="0" fontId="5" fillId="0" borderId="17" xfId="0" applyFont="1" applyBorder="1" applyAlignment="1">
      <alignment horizontal="center" wrapText="1"/>
    </xf>
    <xf numFmtId="0" fontId="5" fillId="0" borderId="11" xfId="0" applyFont="1" applyBorder="1" applyAlignment="1">
      <alignment horizontal="center" wrapText="1"/>
    </xf>
    <xf numFmtId="0" fontId="5" fillId="0" borderId="14" xfId="0" applyFont="1" applyBorder="1" applyAlignment="1">
      <alignment horizontal="center" wrapText="1"/>
    </xf>
    <xf numFmtId="0" fontId="5" fillId="0" borderId="16" xfId="0" applyFont="1" applyBorder="1" applyAlignment="1">
      <alignment horizontal="center" wrapText="1"/>
    </xf>
    <xf numFmtId="0" fontId="5" fillId="0" borderId="15" xfId="0" applyFont="1" applyBorder="1" applyAlignment="1">
      <alignment horizontal="center" wrapText="1"/>
    </xf>
    <xf numFmtId="0" fontId="1" fillId="0" borderId="17" xfId="0" applyFont="1" applyBorder="1" applyAlignment="1">
      <alignment horizontal="left" vertical="top" wrapText="1"/>
    </xf>
    <xf numFmtId="0" fontId="1" fillId="0" borderId="11" xfId="0" applyFont="1" applyBorder="1" applyAlignment="1">
      <alignment horizontal="left" vertical="top" wrapText="1"/>
    </xf>
    <xf numFmtId="171" fontId="5" fillId="0" borderId="6" xfId="0" applyNumberFormat="1" applyFont="1" applyFill="1" applyBorder="1" applyAlignment="1">
      <alignment horizontal="center" vertical="center"/>
    </xf>
    <xf numFmtId="171" fontId="5" fillId="0" borderId="8" xfId="0" applyNumberFormat="1" applyFont="1" applyFill="1" applyBorder="1" applyAlignment="1">
      <alignment horizontal="center" vertical="center"/>
    </xf>
    <xf numFmtId="0" fontId="5" fillId="0" borderId="16" xfId="0" applyFont="1" applyBorder="1" applyAlignment="1">
      <alignment horizontal="center"/>
    </xf>
    <xf numFmtId="170" fontId="5" fillId="0" borderId="3" xfId="0" applyNumberFormat="1" applyFont="1" applyFill="1" applyBorder="1" applyAlignment="1">
      <alignment horizontal="right"/>
    </xf>
    <xf numFmtId="0" fontId="5" fillId="0" borderId="4" xfId="0" applyFont="1" applyBorder="1" applyAlignment="1">
      <alignment horizontal="right"/>
    </xf>
    <xf numFmtId="170" fontId="5" fillId="0" borderId="9" xfId="0" applyNumberFormat="1" applyFont="1" applyFill="1" applyBorder="1" applyAlignment="1">
      <alignment horizontal="right"/>
    </xf>
    <xf numFmtId="2" fontId="5" fillId="0" borderId="3" xfId="0" applyNumberFormat="1" applyFont="1" applyFill="1" applyBorder="1" applyAlignment="1">
      <alignment horizontal="center"/>
    </xf>
    <xf numFmtId="170" fontId="5" fillId="0" borderId="3" xfId="0" applyNumberFormat="1" applyFont="1" applyFill="1" applyBorder="1" applyAlignment="1">
      <alignment horizontal="left"/>
    </xf>
    <xf numFmtId="0" fontId="5" fillId="0" borderId="9" xfId="0" applyFont="1" applyBorder="1" applyAlignment="1">
      <alignment horizontal="left"/>
    </xf>
    <xf numFmtId="0" fontId="5" fillId="0" borderId="4" xfId="0" applyFont="1" applyBorder="1" applyAlignment="1">
      <alignment horizontal="left"/>
    </xf>
    <xf numFmtId="0" fontId="33" fillId="0" borderId="10" xfId="0" applyFont="1" applyBorder="1" applyAlignment="1">
      <alignment horizontal="left" vertical="center" wrapText="1"/>
    </xf>
    <xf numFmtId="0" fontId="0" fillId="0" borderId="17"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1" fontId="33" fillId="0" borderId="10" xfId="0" applyNumberFormat="1" applyFont="1" applyFill="1" applyBorder="1" applyAlignment="1">
      <alignment horizontal="left" vertical="top" wrapText="1"/>
    </xf>
    <xf numFmtId="1" fontId="7" fillId="2" borderId="6" xfId="0" applyNumberFormat="1" applyFont="1" applyFill="1" applyBorder="1" applyAlignment="1">
      <alignment horizontal="center" vertical="center"/>
    </xf>
    <xf numFmtId="1" fontId="7" fillId="2" borderId="8" xfId="0" applyNumberFormat="1" applyFont="1" applyFill="1" applyBorder="1" applyAlignment="1">
      <alignment horizontal="center" vertical="center"/>
    </xf>
    <xf numFmtId="170" fontId="7" fillId="2" borderId="6" xfId="0" applyNumberFormat="1" applyFont="1" applyFill="1" applyBorder="1" applyAlignment="1">
      <alignment horizontal="center" vertical="center"/>
    </xf>
    <xf numFmtId="0" fontId="34" fillId="2" borderId="8" xfId="0" applyFont="1" applyFill="1" applyBorder="1" applyAlignment="1">
      <alignment horizontal="center" vertical="center"/>
    </xf>
    <xf numFmtId="172" fontId="7" fillId="2" borderId="6" xfId="0" applyNumberFormat="1" applyFont="1" applyFill="1" applyBorder="1" applyAlignment="1">
      <alignment horizontal="center" vertical="center"/>
    </xf>
    <xf numFmtId="0" fontId="2" fillId="0" borderId="11" xfId="0" applyFont="1" applyBorder="1" applyAlignment="1">
      <alignment horizontal="left" vertical="top" wrapText="1"/>
    </xf>
    <xf numFmtId="0" fontId="2" fillId="0" borderId="14" xfId="0" applyFont="1" applyBorder="1" applyAlignment="1">
      <alignment wrapText="1"/>
    </xf>
    <xf numFmtId="0" fontId="2" fillId="0" borderId="15" xfId="0" applyFont="1" applyBorder="1" applyAlignment="1">
      <alignment wrapText="1"/>
    </xf>
    <xf numFmtId="3" fontId="5" fillId="0" borderId="6" xfId="0" applyNumberFormat="1" applyFont="1" applyFill="1" applyBorder="1" applyAlignment="1">
      <alignment horizontal="center" vertical="center"/>
    </xf>
    <xf numFmtId="3" fontId="5" fillId="0" borderId="8" xfId="0" applyNumberFormat="1" applyFont="1" applyFill="1" applyBorder="1" applyAlignment="1">
      <alignment horizontal="center" vertical="center"/>
    </xf>
    <xf numFmtId="3" fontId="6" fillId="2" borderId="6" xfId="0" applyNumberFormat="1" applyFont="1" applyFill="1" applyBorder="1" applyAlignment="1">
      <alignment horizontal="center" vertical="center"/>
    </xf>
    <xf numFmtId="3" fontId="6" fillId="2" borderId="8" xfId="0" applyNumberFormat="1" applyFont="1" applyFill="1" applyBorder="1" applyAlignment="1">
      <alignment horizontal="center" vertical="center"/>
    </xf>
    <xf numFmtId="1" fontId="5" fillId="0" borderId="6" xfId="0" applyNumberFormat="1" applyFont="1" applyFill="1" applyBorder="1" applyAlignment="1">
      <alignment horizontal="center" vertical="center"/>
    </xf>
    <xf numFmtId="1" fontId="5" fillId="0" borderId="8" xfId="0" applyNumberFormat="1" applyFont="1" applyFill="1" applyBorder="1" applyAlignment="1">
      <alignment horizontal="center" vertical="center"/>
    </xf>
    <xf numFmtId="164" fontId="18" fillId="9" borderId="3" xfId="7" applyFont="1" applyFill="1" applyBorder="1" applyAlignment="1">
      <alignment horizontal="center"/>
    </xf>
    <xf numFmtId="164" fontId="18" fillId="9" borderId="9" xfId="7" applyFont="1" applyFill="1" applyBorder="1" applyAlignment="1">
      <alignment horizontal="center"/>
    </xf>
    <xf numFmtId="164" fontId="18" fillId="9" borderId="4" xfId="7" applyFont="1" applyFill="1" applyBorder="1" applyAlignment="1">
      <alignment horizontal="center"/>
    </xf>
    <xf numFmtId="164" fontId="5" fillId="0" borderId="0" xfId="7" applyFont="1" applyAlignment="1">
      <alignment wrapText="1"/>
    </xf>
    <xf numFmtId="164" fontId="5" fillId="0" borderId="3" xfId="7" applyFont="1" applyFill="1" applyBorder="1" applyAlignment="1">
      <alignment horizontal="center"/>
    </xf>
    <xf numFmtId="164" fontId="14" fillId="0" borderId="9" xfId="7" applyFont="1" applyFill="1" applyBorder="1" applyAlignment="1">
      <alignment horizontal="center"/>
    </xf>
    <xf numFmtId="164" fontId="14" fillId="0" borderId="4" xfId="7" applyFont="1" applyFill="1" applyBorder="1" applyAlignment="1"/>
    <xf numFmtId="164" fontId="5" fillId="0" borderId="3" xfId="7" applyFont="1" applyBorder="1" applyAlignment="1">
      <alignment horizontal="center"/>
    </xf>
    <xf numFmtId="164" fontId="5" fillId="0" borderId="9" xfId="7" applyFont="1" applyBorder="1" applyAlignment="1">
      <alignment horizontal="center"/>
    </xf>
    <xf numFmtId="164" fontId="5" fillId="0" borderId="4" xfId="7" applyFont="1" applyBorder="1" applyAlignment="1">
      <alignment horizontal="center"/>
    </xf>
    <xf numFmtId="164" fontId="10" fillId="0" borderId="10" xfId="7" applyFont="1" applyBorder="1" applyAlignment="1">
      <alignment horizontal="center"/>
    </xf>
    <xf numFmtId="164" fontId="10" fillId="0" borderId="11" xfId="7" applyFont="1" applyBorder="1" applyAlignment="1">
      <alignment horizontal="center"/>
    </xf>
    <xf numFmtId="164" fontId="5" fillId="0" borderId="12" xfId="7" applyFont="1" applyBorder="1" applyAlignment="1">
      <alignment horizontal="center"/>
    </xf>
    <xf numFmtId="164" fontId="5" fillId="0" borderId="0" xfId="7" applyFont="1" applyBorder="1" applyAlignment="1">
      <alignment horizontal="center"/>
    </xf>
    <xf numFmtId="164" fontId="5" fillId="0" borderId="13" xfId="7" applyFont="1" applyBorder="1" applyAlignment="1">
      <alignment horizontal="center"/>
    </xf>
    <xf numFmtId="3" fontId="5" fillId="0" borderId="6" xfId="7" applyNumberFormat="1" applyFont="1" applyBorder="1" applyAlignment="1">
      <alignment horizontal="center" vertical="center"/>
    </xf>
    <xf numFmtId="3" fontId="5" fillId="0" borderId="7" xfId="7" applyNumberFormat="1" applyFont="1" applyBorder="1" applyAlignment="1">
      <alignment horizontal="center" vertical="center"/>
    </xf>
    <xf numFmtId="170" fontId="16" fillId="0" borderId="10" xfId="7" applyNumberFormat="1" applyFont="1" applyBorder="1" applyAlignment="1">
      <alignment horizontal="center" vertical="center"/>
    </xf>
    <xf numFmtId="170" fontId="16" fillId="0" borderId="12" xfId="7" applyNumberFormat="1" applyFont="1" applyBorder="1" applyAlignment="1">
      <alignment horizontal="center" vertical="center"/>
    </xf>
    <xf numFmtId="164" fontId="15" fillId="0" borderId="3" xfId="7" applyFont="1" applyBorder="1" applyAlignment="1">
      <alignment horizontal="center"/>
    </xf>
    <xf numFmtId="164" fontId="5" fillId="0" borderId="10" xfId="7" applyFont="1" applyFill="1" applyBorder="1" applyAlignment="1">
      <alignment horizontal="left" vertical="top" wrapText="1"/>
    </xf>
    <xf numFmtId="164" fontId="5" fillId="0" borderId="14" xfId="7" applyFont="1" applyBorder="1" applyAlignment="1">
      <alignment horizontal="center"/>
    </xf>
    <xf numFmtId="164" fontId="5" fillId="0" borderId="15" xfId="7" applyFont="1" applyBorder="1" applyAlignment="1">
      <alignment horizontal="center"/>
    </xf>
    <xf numFmtId="164" fontId="16" fillId="0" borderId="12" xfId="7" applyFont="1" applyFill="1" applyBorder="1" applyAlignment="1">
      <alignment horizontal="center"/>
    </xf>
    <xf numFmtId="164" fontId="16" fillId="0" borderId="14" xfId="7" applyFont="1" applyFill="1" applyBorder="1" applyAlignment="1">
      <alignment horizontal="center"/>
    </xf>
    <xf numFmtId="170" fontId="16" fillId="0" borderId="3" xfId="7" quotePrefix="1" applyNumberFormat="1" applyFont="1" applyFill="1" applyBorder="1" applyAlignment="1" applyProtection="1">
      <alignment horizontal="center"/>
      <protection locked="0"/>
    </xf>
    <xf numFmtId="170" fontId="0" fillId="0" borderId="4" xfId="0" applyNumberFormat="1" applyBorder="1" applyAlignment="1">
      <alignment horizontal="center"/>
    </xf>
    <xf numFmtId="171" fontId="6" fillId="2" borderId="6" xfId="7" applyNumberFormat="1" applyFont="1" applyFill="1" applyBorder="1" applyAlignment="1" applyProtection="1">
      <alignment horizontal="center" vertical="center"/>
    </xf>
    <xf numFmtId="171" fontId="48" fillId="2" borderId="7" xfId="7" applyNumberFormat="1" applyFont="1" applyFill="1" applyBorder="1" applyAlignment="1">
      <alignment horizontal="center" vertical="center"/>
    </xf>
    <xf numFmtId="171" fontId="48" fillId="2" borderId="8" xfId="7" applyNumberFormat="1" applyFont="1" applyFill="1" applyBorder="1" applyAlignment="1">
      <alignment horizontal="center" vertical="center"/>
    </xf>
    <xf numFmtId="164" fontId="5" fillId="3" borderId="17" xfId="7" applyFont="1" applyFill="1" applyBorder="1" applyAlignment="1">
      <alignment horizontal="center"/>
    </xf>
    <xf numFmtId="164" fontId="16" fillId="0" borderId="3" xfId="7" applyFont="1" applyFill="1" applyBorder="1" applyAlignment="1">
      <alignment horizontal="center"/>
    </xf>
    <xf numFmtId="164" fontId="14" fillId="0" borderId="9" xfId="7" applyBorder="1" applyAlignment="1">
      <alignment horizontal="center"/>
    </xf>
    <xf numFmtId="49" fontId="16" fillId="0" borderId="10" xfId="7" applyNumberFormat="1" applyFont="1" applyFill="1" applyBorder="1" applyAlignment="1" applyProtection="1">
      <alignment horizontal="center"/>
    </xf>
    <xf numFmtId="164" fontId="5" fillId="3" borderId="10" xfId="7" applyFont="1" applyFill="1" applyBorder="1" applyAlignment="1">
      <alignment horizontal="center"/>
    </xf>
    <xf numFmtId="164" fontId="14" fillId="3" borderId="17" xfId="7" applyFill="1" applyBorder="1" applyAlignment="1">
      <alignment horizontal="center"/>
    </xf>
    <xf numFmtId="0" fontId="0" fillId="3" borderId="11" xfId="0" applyFill="1" applyBorder="1" applyAlignment="1">
      <alignment horizontal="center"/>
    </xf>
    <xf numFmtId="164" fontId="16" fillId="0" borderId="9" xfId="7" applyFont="1" applyFill="1" applyBorder="1" applyAlignment="1">
      <alignment horizontal="center"/>
    </xf>
    <xf numFmtId="164" fontId="37" fillId="0" borderId="4" xfId="7" applyFont="1" applyFill="1" applyBorder="1" applyAlignment="1"/>
    <xf numFmtId="49" fontId="16" fillId="0" borderId="10" xfId="7" applyNumberFormat="1" applyFont="1" applyFill="1" applyBorder="1" applyAlignment="1" applyProtection="1">
      <alignment horizontal="center" vertical="center" wrapText="1"/>
    </xf>
    <xf numFmtId="164" fontId="37" fillId="0" borderId="17" xfId="7" applyFont="1" applyFill="1" applyBorder="1" applyAlignment="1">
      <alignment horizontal="center" vertical="center" wrapText="1"/>
    </xf>
    <xf numFmtId="164" fontId="37" fillId="0" borderId="11" xfId="7" applyFont="1" applyFill="1" applyBorder="1" applyAlignment="1">
      <alignment horizontal="center" vertical="center" wrapText="1"/>
    </xf>
    <xf numFmtId="164" fontId="37" fillId="0" borderId="12" xfId="7" applyFont="1" applyFill="1" applyBorder="1" applyAlignment="1">
      <alignment horizontal="center" vertical="center" wrapText="1"/>
    </xf>
    <xf numFmtId="164" fontId="37" fillId="0" borderId="0" xfId="7" applyFont="1" applyFill="1" applyBorder="1" applyAlignment="1">
      <alignment horizontal="center" vertical="center" wrapText="1"/>
    </xf>
    <xf numFmtId="164" fontId="37" fillId="0" borderId="13" xfId="7" applyFont="1" applyFill="1" applyBorder="1" applyAlignment="1">
      <alignment horizontal="center" vertical="center" wrapText="1"/>
    </xf>
    <xf numFmtId="164" fontId="37" fillId="0" borderId="14" xfId="7" applyFont="1" applyFill="1" applyBorder="1" applyAlignment="1">
      <alignment horizontal="center" vertical="center" wrapText="1"/>
    </xf>
    <xf numFmtId="164" fontId="37" fillId="0" borderId="16" xfId="7" applyFont="1" applyFill="1" applyBorder="1" applyAlignment="1">
      <alignment horizontal="center" vertical="center" wrapText="1"/>
    </xf>
    <xf numFmtId="164" fontId="37" fillId="0" borderId="15" xfId="7" applyFont="1" applyFill="1" applyBorder="1" applyAlignment="1">
      <alignment horizontal="center" vertical="center" wrapText="1"/>
    </xf>
    <xf numFmtId="164" fontId="16" fillId="0" borderId="10" xfId="7" applyFont="1" applyFill="1" applyBorder="1" applyAlignment="1">
      <alignment horizontal="center"/>
    </xf>
    <xf numFmtId="3" fontId="5" fillId="3" borderId="0" xfId="7" applyNumberFormat="1" applyFont="1" applyFill="1" applyBorder="1" applyAlignment="1">
      <alignment horizontal="center" vertical="center"/>
    </xf>
    <xf numFmtId="3" fontId="5" fillId="3" borderId="16" xfId="7" applyNumberFormat="1" applyFont="1" applyFill="1" applyBorder="1" applyAlignment="1">
      <alignment horizontal="center" vertical="center"/>
    </xf>
    <xf numFmtId="170" fontId="16" fillId="3" borderId="13" xfId="7" applyNumberFormat="1" applyFont="1" applyFill="1" applyBorder="1" applyAlignment="1">
      <alignment horizontal="center" vertical="center"/>
    </xf>
    <xf numFmtId="0" fontId="50" fillId="3" borderId="15" xfId="0" applyFont="1" applyFill="1" applyBorder="1" applyAlignment="1">
      <alignment horizontal="center" vertical="center"/>
    </xf>
    <xf numFmtId="164" fontId="10" fillId="0" borderId="3" xfId="7" applyFont="1" applyBorder="1" applyAlignment="1">
      <alignment horizontal="center"/>
    </xf>
    <xf numFmtId="0" fontId="11" fillId="0" borderId="9" xfId="0" applyFont="1" applyBorder="1" applyAlignment="1">
      <alignment horizontal="center"/>
    </xf>
    <xf numFmtId="0" fontId="11" fillId="0" borderId="4" xfId="0" applyFont="1" applyBorder="1" applyAlignment="1">
      <alignment horizontal="center"/>
    </xf>
    <xf numFmtId="170" fontId="5" fillId="0" borderId="6" xfId="7" applyNumberFormat="1" applyFont="1" applyBorder="1" applyAlignment="1">
      <alignment horizontal="center" vertical="center"/>
    </xf>
    <xf numFmtId="170" fontId="5" fillId="0" borderId="7" xfId="7" applyNumberFormat="1" applyFont="1" applyBorder="1" applyAlignment="1">
      <alignment horizontal="center" vertical="center"/>
    </xf>
    <xf numFmtId="170" fontId="19" fillId="0" borderId="7" xfId="0" applyNumberFormat="1" applyFont="1" applyBorder="1" applyAlignment="1">
      <alignment horizontal="center" vertical="center"/>
    </xf>
    <xf numFmtId="164" fontId="14" fillId="0" borderId="4" xfId="7" applyBorder="1" applyAlignment="1">
      <alignment horizontal="center"/>
    </xf>
    <xf numFmtId="164" fontId="16" fillId="0" borderId="4" xfId="7" applyFont="1" applyFill="1" applyBorder="1" applyAlignment="1">
      <alignment horizontal="center"/>
    </xf>
    <xf numFmtId="0" fontId="19" fillId="0" borderId="7" xfId="0" applyFont="1" applyBorder="1" applyAlignment="1">
      <alignment horizontal="center" vertical="center"/>
    </xf>
    <xf numFmtId="3" fontId="19" fillId="0" borderId="7" xfId="0" applyNumberFormat="1" applyFont="1" applyBorder="1" applyAlignment="1">
      <alignment horizontal="center" vertical="center"/>
    </xf>
    <xf numFmtId="170" fontId="5" fillId="0" borderId="8" xfId="7" applyNumberFormat="1" applyFont="1" applyBorder="1" applyAlignment="1">
      <alignment horizontal="center" vertical="center"/>
    </xf>
    <xf numFmtId="164" fontId="5" fillId="0" borderId="6" xfId="7" applyFont="1" applyBorder="1" applyAlignment="1">
      <alignment wrapText="1"/>
    </xf>
    <xf numFmtId="170" fontId="5" fillId="0" borderId="5" xfId="7" applyNumberFormat="1" applyFont="1" applyBorder="1" applyAlignment="1">
      <alignment horizontal="center"/>
    </xf>
    <xf numFmtId="170" fontId="0" fillId="0" borderId="5" xfId="0" applyNumberFormat="1" applyBorder="1" applyAlignment="1">
      <alignment horizontal="center"/>
    </xf>
    <xf numFmtId="164" fontId="5" fillId="0" borderId="8" xfId="7" applyFont="1" applyBorder="1" applyAlignment="1">
      <alignment wrapText="1"/>
    </xf>
    <xf numFmtId="164" fontId="5" fillId="0" borderId="6" xfId="7" applyFont="1" applyBorder="1" applyAlignment="1">
      <alignment horizontal="left" vertical="center" wrapText="1" indent="1"/>
    </xf>
    <xf numFmtId="164" fontId="5" fillId="0" borderId="8" xfId="7" applyFont="1" applyBorder="1" applyAlignment="1">
      <alignment horizontal="left" vertical="center" wrapText="1" indent="1"/>
    </xf>
    <xf numFmtId="164" fontId="5" fillId="0" borderId="5" xfId="7" applyFont="1" applyBorder="1" applyAlignment="1">
      <alignment horizontal="center"/>
    </xf>
    <xf numFmtId="164" fontId="5" fillId="0" borderId="6" xfId="7" applyFont="1"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170" fontId="5" fillId="0" borderId="5" xfId="7" applyNumberFormat="1" applyFont="1" applyBorder="1" applyAlignment="1">
      <alignment horizontal="center" vertical="center"/>
    </xf>
    <xf numFmtId="170" fontId="0" fillId="0" borderId="7" xfId="0" applyNumberFormat="1" applyBorder="1" applyAlignment="1">
      <alignment horizontal="center"/>
    </xf>
    <xf numFmtId="170" fontId="0" fillId="0" borderId="8" xfId="0" applyNumberFormat="1" applyBorder="1" applyAlignment="1">
      <alignment horizontal="center"/>
    </xf>
    <xf numFmtId="3" fontId="6" fillId="2" borderId="6" xfId="0" applyNumberFormat="1" applyFont="1" applyFill="1" applyBorder="1" applyAlignment="1" applyProtection="1">
      <alignment horizontal="center" vertical="center"/>
      <protection locked="0"/>
    </xf>
    <xf numFmtId="3" fontId="30" fillId="0" borderId="7" xfId="0" applyNumberFormat="1" applyFont="1" applyBorder="1" applyAlignment="1">
      <alignment horizontal="center" vertical="center"/>
    </xf>
    <xf numFmtId="3" fontId="30" fillId="0" borderId="8" xfId="0" applyNumberFormat="1" applyFont="1" applyBorder="1" applyAlignment="1">
      <alignment horizontal="center" vertical="center"/>
    </xf>
    <xf numFmtId="2" fontId="5" fillId="0" borderId="6" xfId="0" applyNumberFormat="1" applyFont="1" applyFill="1" applyBorder="1" applyAlignment="1" applyProtection="1">
      <alignment horizontal="center" vertical="center"/>
    </xf>
    <xf numFmtId="164" fontId="5" fillId="0" borderId="7" xfId="7" applyFont="1" applyFill="1" applyBorder="1" applyAlignment="1">
      <alignment horizontal="center"/>
    </xf>
    <xf numFmtId="0" fontId="11" fillId="0" borderId="17" xfId="0" applyFont="1" applyBorder="1" applyAlignment="1">
      <alignment horizontal="center"/>
    </xf>
    <xf numFmtId="164" fontId="5" fillId="0" borderId="12" xfId="7" applyFont="1" applyFill="1" applyBorder="1" applyAlignment="1">
      <alignment horizontal="center"/>
    </xf>
    <xf numFmtId="0" fontId="5" fillId="0" borderId="13" xfId="0" applyFont="1" applyBorder="1" applyAlignment="1"/>
    <xf numFmtId="49" fontId="5" fillId="0" borderId="7" xfId="7" applyNumberFormat="1" applyFont="1" applyFill="1" applyBorder="1" applyAlignment="1" applyProtection="1">
      <alignment horizontal="center"/>
    </xf>
    <xf numFmtId="3" fontId="5" fillId="0" borderId="3" xfId="7" quotePrefix="1" applyNumberFormat="1" applyFont="1" applyBorder="1" applyAlignment="1">
      <alignment horizontal="center"/>
    </xf>
    <xf numFmtId="3" fontId="6" fillId="2" borderId="3" xfId="7" applyNumberFormat="1" applyFont="1" applyFill="1" applyBorder="1" applyAlignment="1">
      <alignment horizontal="center"/>
    </xf>
    <xf numFmtId="3" fontId="6" fillId="2" borderId="4" xfId="7" applyNumberFormat="1" applyFont="1" applyFill="1" applyBorder="1" applyAlignment="1">
      <alignment horizontal="center"/>
    </xf>
    <xf numFmtId="3" fontId="5" fillId="0" borderId="10" xfId="7" applyNumberFormat="1" applyFont="1" applyBorder="1" applyAlignment="1">
      <alignment horizontal="center"/>
    </xf>
    <xf numFmtId="3" fontId="5" fillId="0" borderId="11" xfId="7" applyNumberFormat="1" applyFont="1" applyBorder="1" applyAlignment="1">
      <alignment horizontal="center"/>
    </xf>
    <xf numFmtId="164" fontId="5" fillId="0" borderId="3" xfId="7" applyFont="1" applyBorder="1" applyAlignment="1">
      <alignment horizontal="left"/>
    </xf>
    <xf numFmtId="3" fontId="5" fillId="0" borderId="0" xfId="7" applyNumberFormat="1" applyFont="1" applyFill="1" applyBorder="1" applyAlignment="1">
      <alignment horizontal="center"/>
    </xf>
    <xf numFmtId="0" fontId="0" fillId="0" borderId="13" xfId="0" applyBorder="1" applyAlignment="1"/>
    <xf numFmtId="49" fontId="5" fillId="0" borderId="3" xfId="7" applyNumberFormat="1" applyFont="1" applyFill="1" applyBorder="1" applyAlignment="1" applyProtection="1">
      <alignment horizontal="center"/>
    </xf>
    <xf numFmtId="49" fontId="5" fillId="0" borderId="5" xfId="7" applyNumberFormat="1" applyFont="1" applyFill="1" applyBorder="1" applyAlignment="1" applyProtection="1">
      <alignment horizontal="center"/>
    </xf>
    <xf numFmtId="0" fontId="0" fillId="0" borderId="5" xfId="0" applyBorder="1" applyAlignment="1">
      <alignment horizontal="center"/>
    </xf>
    <xf numFmtId="164" fontId="5" fillId="0" borderId="10" xfId="7" applyFont="1" applyFill="1" applyBorder="1" applyAlignment="1">
      <alignment horizontal="center"/>
    </xf>
    <xf numFmtId="164" fontId="5" fillId="0" borderId="14" xfId="7" applyFont="1" applyFill="1" applyBorder="1" applyAlignment="1">
      <alignment horizontal="center"/>
    </xf>
    <xf numFmtId="170" fontId="5" fillId="0" borderId="3" xfId="7" applyNumberFormat="1" applyFont="1" applyFill="1" applyBorder="1" applyAlignment="1">
      <alignment horizontal="center"/>
    </xf>
    <xf numFmtId="170" fontId="19" fillId="0" borderId="4" xfId="0" applyNumberFormat="1" applyFont="1" applyFill="1" applyBorder="1" applyAlignment="1">
      <alignment horizontal="center"/>
    </xf>
    <xf numFmtId="164" fontId="53" fillId="0" borderId="0" xfId="7" applyFont="1" applyBorder="1" applyAlignment="1">
      <alignment horizontal="left" vertical="top" wrapText="1"/>
    </xf>
    <xf numFmtId="0" fontId="55" fillId="0" borderId="0" xfId="0" applyFont="1" applyAlignment="1">
      <alignment horizontal="left" vertical="top" wrapText="1"/>
    </xf>
    <xf numFmtId="164" fontId="16" fillId="0" borderId="10" xfId="7" applyFont="1" applyBorder="1" applyAlignment="1">
      <alignment horizontal="center"/>
    </xf>
    <xf numFmtId="164" fontId="16" fillId="0" borderId="11" xfId="7" applyFont="1" applyBorder="1" applyAlignment="1">
      <alignment horizontal="center"/>
    </xf>
    <xf numFmtId="164" fontId="6" fillId="0" borderId="3" xfId="7" applyFont="1" applyBorder="1" applyAlignment="1">
      <alignment horizontal="center"/>
    </xf>
    <xf numFmtId="0" fontId="30" fillId="0" borderId="9" xfId="0" applyFont="1" applyBorder="1" applyAlignment="1">
      <alignment horizontal="center"/>
    </xf>
    <xf numFmtId="0" fontId="30" fillId="0" borderId="4" xfId="0" applyFont="1" applyBorder="1" applyAlignment="1">
      <alignment horizontal="center"/>
    </xf>
    <xf numFmtId="164" fontId="16" fillId="0" borderId="14" xfId="7" applyFont="1" applyBorder="1" applyAlignment="1">
      <alignment horizontal="center"/>
    </xf>
    <xf numFmtId="164" fontId="16" fillId="0" borderId="15" xfId="7" applyFont="1" applyBorder="1" applyAlignment="1">
      <alignment horizontal="center"/>
    </xf>
    <xf numFmtId="164" fontId="5" fillId="0" borderId="0" xfId="7" applyFont="1" applyFill="1" applyBorder="1" applyAlignment="1">
      <alignment horizontal="center"/>
    </xf>
    <xf numFmtId="164" fontId="5" fillId="0" borderId="10" xfId="7" applyFont="1" applyBorder="1" applyAlignment="1">
      <alignment horizontal="center"/>
    </xf>
    <xf numFmtId="3" fontId="5" fillId="0" borderId="6" xfId="7" applyNumberFormat="1" applyFont="1" applyFill="1" applyBorder="1" applyAlignment="1">
      <alignment horizontal="center" vertical="center"/>
    </xf>
    <xf numFmtId="3" fontId="5" fillId="0" borderId="7" xfId="7" applyNumberFormat="1" applyFont="1" applyFill="1" applyBorder="1" applyAlignment="1">
      <alignment horizontal="center" vertical="center"/>
    </xf>
    <xf numFmtId="3" fontId="5" fillId="0" borderId="10" xfId="7" applyNumberFormat="1" applyFont="1" applyBorder="1" applyAlignment="1">
      <alignment horizontal="center" vertical="center"/>
    </xf>
    <xf numFmtId="0" fontId="0" fillId="0" borderId="14" xfId="0"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164" fontId="53" fillId="0" borderId="14" xfId="7" applyFont="1" applyFill="1" applyBorder="1" applyAlignment="1">
      <alignment horizontal="center"/>
    </xf>
    <xf numFmtId="0" fontId="54" fillId="0" borderId="16" xfId="0" applyFont="1" applyFill="1" applyBorder="1" applyAlignment="1">
      <alignment horizontal="center"/>
    </xf>
    <xf numFmtId="0" fontId="54" fillId="0" borderId="15" xfId="0" applyFont="1" applyFill="1" applyBorder="1" applyAlignment="1">
      <alignment horizontal="center"/>
    </xf>
    <xf numFmtId="164" fontId="5" fillId="0" borderId="17" xfId="7" applyFont="1" applyBorder="1" applyAlignment="1">
      <alignment horizontal="center"/>
    </xf>
    <xf numFmtId="164" fontId="5" fillId="0" borderId="11" xfId="7" applyFont="1" applyBorder="1" applyAlignment="1">
      <alignment horizontal="center"/>
    </xf>
  </cellXfs>
  <cellStyles count="9">
    <cellStyle name="Date" xfId="1" xr:uid="{00000000-0005-0000-0000-000000000000}"/>
    <cellStyle name="Fixed" xfId="2" xr:uid="{00000000-0005-0000-0000-000001000000}"/>
    <cellStyle name="Heading1" xfId="3" xr:uid="{00000000-0005-0000-0000-000002000000}"/>
    <cellStyle name="Heading2" xfId="4" xr:uid="{00000000-0005-0000-0000-000003000000}"/>
    <cellStyle name="Hyperlink" xfId="5" builtinId="8"/>
    <cellStyle name="Normal" xfId="0" builtinId="0"/>
    <cellStyle name="Normal_7-com page blank" xfId="6" xr:uid="{00000000-0005-0000-0000-000006000000}"/>
    <cellStyle name="Normal_N Tools ver-2.2" xfId="7" xr:uid="{00000000-0005-0000-0000-000007000000}"/>
    <cellStyle name="Total" xfId="8"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Q$37"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Q$39" lockText="1" noThreeD="1"/>
</file>

<file path=xl/ctrlProps/ctrlProp5.xml><?xml version="1.0" encoding="utf-8"?>
<formControlPr xmlns="http://schemas.microsoft.com/office/spreadsheetml/2009/9/main" objectType="CheckBox" fmlaLink="$Q$40"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checked="Checked" firstButton="1" fmlaLink="$F$8" noThreeD="1"/>
</file>

<file path=xl/ctrlProps/ctrlProp8.xml><?xml version="1.0" encoding="utf-8"?>
<formControlPr xmlns="http://schemas.microsoft.com/office/spreadsheetml/2009/9/main" objectType="Radio" noThreeD="1"/>
</file>

<file path=xl/ctrlProps/ctrlProp9.xml><?xml version="1.0" encoding="utf-8"?>
<formControlPr xmlns="http://schemas.microsoft.com/office/spreadsheetml/2009/9/main" objectType="Radio" noThreeD="1"/>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238125</xdr:colOff>
      <xdr:row>83</xdr:row>
      <xdr:rowOff>38100</xdr:rowOff>
    </xdr:from>
    <xdr:to>
      <xdr:col>3</xdr:col>
      <xdr:colOff>238125</xdr:colOff>
      <xdr:row>85</xdr:row>
      <xdr:rowOff>0</xdr:rowOff>
    </xdr:to>
    <xdr:sp macro="" textlink="">
      <xdr:nvSpPr>
        <xdr:cNvPr id="3111" name="Line 28">
          <a:extLst>
            <a:ext uri="{FF2B5EF4-FFF2-40B4-BE49-F238E27FC236}">
              <a16:creationId xmlns:a16="http://schemas.microsoft.com/office/drawing/2014/main" id="{00000000-0008-0000-0200-0000270C0000}"/>
            </a:ext>
          </a:extLst>
        </xdr:cNvPr>
        <xdr:cNvSpPr>
          <a:spLocks noChangeShapeType="1"/>
        </xdr:cNvSpPr>
      </xdr:nvSpPr>
      <xdr:spPr bwMode="auto">
        <a:xfrm flipV="1">
          <a:off x="733425" y="11801475"/>
          <a:ext cx="647700" cy="2476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28575</xdr:colOff>
      <xdr:row>6</xdr:row>
      <xdr:rowOff>95250</xdr:rowOff>
    </xdr:from>
    <xdr:to>
      <xdr:col>13</xdr:col>
      <xdr:colOff>504825</xdr:colOff>
      <xdr:row>7</xdr:row>
      <xdr:rowOff>95250</xdr:rowOff>
    </xdr:to>
    <xdr:sp macro="" textlink="">
      <xdr:nvSpPr>
        <xdr:cNvPr id="11287" name="Line 1">
          <a:extLst>
            <a:ext uri="{FF2B5EF4-FFF2-40B4-BE49-F238E27FC236}">
              <a16:creationId xmlns:a16="http://schemas.microsoft.com/office/drawing/2014/main" id="{00000000-0008-0000-1E00-0000172C0000}"/>
            </a:ext>
          </a:extLst>
        </xdr:cNvPr>
        <xdr:cNvSpPr>
          <a:spLocks noChangeShapeType="1"/>
        </xdr:cNvSpPr>
      </xdr:nvSpPr>
      <xdr:spPr bwMode="auto">
        <a:xfrm flipH="1">
          <a:off x="7239000" y="1009650"/>
          <a:ext cx="476250" cy="152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133350</xdr:colOff>
      <xdr:row>8</xdr:row>
      <xdr:rowOff>57150</xdr:rowOff>
    </xdr:from>
    <xdr:to>
      <xdr:col>13</xdr:col>
      <xdr:colOff>514350</xdr:colOff>
      <xdr:row>10</xdr:row>
      <xdr:rowOff>38100</xdr:rowOff>
    </xdr:to>
    <xdr:sp macro="" textlink="">
      <xdr:nvSpPr>
        <xdr:cNvPr id="11288" name="Line 8">
          <a:extLst>
            <a:ext uri="{FF2B5EF4-FFF2-40B4-BE49-F238E27FC236}">
              <a16:creationId xmlns:a16="http://schemas.microsoft.com/office/drawing/2014/main" id="{00000000-0008-0000-1E00-0000182C0000}"/>
            </a:ext>
          </a:extLst>
        </xdr:cNvPr>
        <xdr:cNvSpPr>
          <a:spLocks noChangeShapeType="1"/>
        </xdr:cNvSpPr>
      </xdr:nvSpPr>
      <xdr:spPr bwMode="auto">
        <a:xfrm>
          <a:off x="7343775" y="1276350"/>
          <a:ext cx="381000" cy="2857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85725</xdr:colOff>
      <xdr:row>6</xdr:row>
      <xdr:rowOff>76200</xdr:rowOff>
    </xdr:from>
    <xdr:to>
      <xdr:col>13</xdr:col>
      <xdr:colOff>476250</xdr:colOff>
      <xdr:row>7</xdr:row>
      <xdr:rowOff>76200</xdr:rowOff>
    </xdr:to>
    <xdr:sp macro="" textlink="">
      <xdr:nvSpPr>
        <xdr:cNvPr id="12389" name="Line 1">
          <a:extLst>
            <a:ext uri="{FF2B5EF4-FFF2-40B4-BE49-F238E27FC236}">
              <a16:creationId xmlns:a16="http://schemas.microsoft.com/office/drawing/2014/main" id="{00000000-0008-0000-2000-000065300000}"/>
            </a:ext>
          </a:extLst>
        </xdr:cNvPr>
        <xdr:cNvSpPr>
          <a:spLocks noChangeShapeType="1"/>
        </xdr:cNvSpPr>
      </xdr:nvSpPr>
      <xdr:spPr bwMode="auto">
        <a:xfrm flipH="1">
          <a:off x="7296150" y="990600"/>
          <a:ext cx="390525" cy="152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85725</xdr:colOff>
      <xdr:row>43</xdr:row>
      <xdr:rowOff>85725</xdr:rowOff>
    </xdr:from>
    <xdr:to>
      <xdr:col>13</xdr:col>
      <xdr:colOff>476250</xdr:colOff>
      <xdr:row>45</xdr:row>
      <xdr:rowOff>19050</xdr:rowOff>
    </xdr:to>
    <xdr:sp macro="" textlink="">
      <xdr:nvSpPr>
        <xdr:cNvPr id="12390" name="Line 2">
          <a:extLst>
            <a:ext uri="{FF2B5EF4-FFF2-40B4-BE49-F238E27FC236}">
              <a16:creationId xmlns:a16="http://schemas.microsoft.com/office/drawing/2014/main" id="{00000000-0008-0000-2000-000066300000}"/>
            </a:ext>
          </a:extLst>
        </xdr:cNvPr>
        <xdr:cNvSpPr>
          <a:spLocks noChangeShapeType="1"/>
        </xdr:cNvSpPr>
      </xdr:nvSpPr>
      <xdr:spPr bwMode="auto">
        <a:xfrm flipH="1">
          <a:off x="7296150" y="6638925"/>
          <a:ext cx="390525" cy="2381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171450</xdr:colOff>
      <xdr:row>8</xdr:row>
      <xdr:rowOff>28575</xdr:rowOff>
    </xdr:from>
    <xdr:to>
      <xdr:col>13</xdr:col>
      <xdr:colOff>514350</xdr:colOff>
      <xdr:row>9</xdr:row>
      <xdr:rowOff>123825</xdr:rowOff>
    </xdr:to>
    <xdr:sp macro="" textlink="">
      <xdr:nvSpPr>
        <xdr:cNvPr id="12391" name="Line 51">
          <a:extLst>
            <a:ext uri="{FF2B5EF4-FFF2-40B4-BE49-F238E27FC236}">
              <a16:creationId xmlns:a16="http://schemas.microsoft.com/office/drawing/2014/main" id="{00000000-0008-0000-2000-000067300000}"/>
            </a:ext>
          </a:extLst>
        </xdr:cNvPr>
        <xdr:cNvSpPr>
          <a:spLocks noChangeShapeType="1"/>
        </xdr:cNvSpPr>
      </xdr:nvSpPr>
      <xdr:spPr bwMode="auto">
        <a:xfrm>
          <a:off x="7381875" y="1247775"/>
          <a:ext cx="342900" cy="2476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66675</xdr:colOff>
      <xdr:row>46</xdr:row>
      <xdr:rowOff>28575</xdr:rowOff>
    </xdr:from>
    <xdr:to>
      <xdr:col>13</xdr:col>
      <xdr:colOff>542925</xdr:colOff>
      <xdr:row>49</xdr:row>
      <xdr:rowOff>66675</xdr:rowOff>
    </xdr:to>
    <xdr:sp macro="" textlink="">
      <xdr:nvSpPr>
        <xdr:cNvPr id="12392" name="Line 54">
          <a:extLst>
            <a:ext uri="{FF2B5EF4-FFF2-40B4-BE49-F238E27FC236}">
              <a16:creationId xmlns:a16="http://schemas.microsoft.com/office/drawing/2014/main" id="{00000000-0008-0000-2000-000068300000}"/>
            </a:ext>
          </a:extLst>
        </xdr:cNvPr>
        <xdr:cNvSpPr>
          <a:spLocks noChangeShapeType="1"/>
        </xdr:cNvSpPr>
      </xdr:nvSpPr>
      <xdr:spPr bwMode="auto">
        <a:xfrm>
          <a:off x="7277100" y="7038975"/>
          <a:ext cx="476250" cy="495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514350</xdr:colOff>
      <xdr:row>12</xdr:row>
      <xdr:rowOff>0</xdr:rowOff>
    </xdr:from>
    <xdr:to>
      <xdr:col>13</xdr:col>
      <xdr:colOff>523875</xdr:colOff>
      <xdr:row>33</xdr:row>
      <xdr:rowOff>9525</xdr:rowOff>
    </xdr:to>
    <xdr:sp macro="" textlink="">
      <xdr:nvSpPr>
        <xdr:cNvPr id="12393" name="Line 56">
          <a:extLst>
            <a:ext uri="{FF2B5EF4-FFF2-40B4-BE49-F238E27FC236}">
              <a16:creationId xmlns:a16="http://schemas.microsoft.com/office/drawing/2014/main" id="{00000000-0008-0000-2000-000069300000}"/>
            </a:ext>
          </a:extLst>
        </xdr:cNvPr>
        <xdr:cNvSpPr>
          <a:spLocks noChangeShapeType="1"/>
        </xdr:cNvSpPr>
      </xdr:nvSpPr>
      <xdr:spPr bwMode="auto">
        <a:xfrm flipH="1">
          <a:off x="3657600" y="1828800"/>
          <a:ext cx="4076700" cy="3209925"/>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50</xdr:row>
      <xdr:rowOff>85725</xdr:rowOff>
    </xdr:from>
    <xdr:to>
      <xdr:col>13</xdr:col>
      <xdr:colOff>504825</xdr:colOff>
      <xdr:row>60</xdr:row>
      <xdr:rowOff>66675</xdr:rowOff>
    </xdr:to>
    <xdr:sp macro="" textlink="">
      <xdr:nvSpPr>
        <xdr:cNvPr id="12394" name="Line 57">
          <a:extLst>
            <a:ext uri="{FF2B5EF4-FFF2-40B4-BE49-F238E27FC236}">
              <a16:creationId xmlns:a16="http://schemas.microsoft.com/office/drawing/2014/main" id="{00000000-0008-0000-2000-00006A300000}"/>
            </a:ext>
          </a:extLst>
        </xdr:cNvPr>
        <xdr:cNvSpPr>
          <a:spLocks noChangeShapeType="1"/>
        </xdr:cNvSpPr>
      </xdr:nvSpPr>
      <xdr:spPr bwMode="auto">
        <a:xfrm flipV="1">
          <a:off x="3200400" y="7705725"/>
          <a:ext cx="4514850" cy="15049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13</xdr:col>
      <xdr:colOff>66675</xdr:colOff>
      <xdr:row>6</xdr:row>
      <xdr:rowOff>95250</xdr:rowOff>
    </xdr:from>
    <xdr:to>
      <xdr:col>13</xdr:col>
      <xdr:colOff>476250</xdr:colOff>
      <xdr:row>7</xdr:row>
      <xdr:rowOff>76200</xdr:rowOff>
    </xdr:to>
    <xdr:sp macro="" textlink="">
      <xdr:nvSpPr>
        <xdr:cNvPr id="10271" name="Line 6">
          <a:extLst>
            <a:ext uri="{FF2B5EF4-FFF2-40B4-BE49-F238E27FC236}">
              <a16:creationId xmlns:a16="http://schemas.microsoft.com/office/drawing/2014/main" id="{00000000-0008-0000-2100-00001F280000}"/>
            </a:ext>
          </a:extLst>
        </xdr:cNvPr>
        <xdr:cNvSpPr>
          <a:spLocks noChangeShapeType="1"/>
        </xdr:cNvSpPr>
      </xdr:nvSpPr>
      <xdr:spPr bwMode="auto">
        <a:xfrm flipH="1">
          <a:off x="7277100" y="1009650"/>
          <a:ext cx="409575" cy="133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523875</xdr:colOff>
      <xdr:row>12</xdr:row>
      <xdr:rowOff>19050</xdr:rowOff>
    </xdr:from>
    <xdr:to>
      <xdr:col>13</xdr:col>
      <xdr:colOff>514350</xdr:colOff>
      <xdr:row>29</xdr:row>
      <xdr:rowOff>142875</xdr:rowOff>
    </xdr:to>
    <xdr:sp macro="" textlink="">
      <xdr:nvSpPr>
        <xdr:cNvPr id="10272" name="Line 7">
          <a:extLst>
            <a:ext uri="{FF2B5EF4-FFF2-40B4-BE49-F238E27FC236}">
              <a16:creationId xmlns:a16="http://schemas.microsoft.com/office/drawing/2014/main" id="{00000000-0008-0000-2100-000020280000}"/>
            </a:ext>
          </a:extLst>
        </xdr:cNvPr>
        <xdr:cNvSpPr>
          <a:spLocks noChangeShapeType="1"/>
        </xdr:cNvSpPr>
      </xdr:nvSpPr>
      <xdr:spPr bwMode="auto">
        <a:xfrm flipV="1">
          <a:off x="3667125" y="1847850"/>
          <a:ext cx="4057650" cy="27146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104775</xdr:colOff>
      <xdr:row>8</xdr:row>
      <xdr:rowOff>28575</xdr:rowOff>
    </xdr:from>
    <xdr:to>
      <xdr:col>13</xdr:col>
      <xdr:colOff>561975</xdr:colOff>
      <xdr:row>10</xdr:row>
      <xdr:rowOff>66675</xdr:rowOff>
    </xdr:to>
    <xdr:sp macro="" textlink="">
      <xdr:nvSpPr>
        <xdr:cNvPr id="10273" name="Line 8">
          <a:extLst>
            <a:ext uri="{FF2B5EF4-FFF2-40B4-BE49-F238E27FC236}">
              <a16:creationId xmlns:a16="http://schemas.microsoft.com/office/drawing/2014/main" id="{00000000-0008-0000-2100-000021280000}"/>
            </a:ext>
          </a:extLst>
        </xdr:cNvPr>
        <xdr:cNvSpPr>
          <a:spLocks noChangeShapeType="1"/>
        </xdr:cNvSpPr>
      </xdr:nvSpPr>
      <xdr:spPr bwMode="auto">
        <a:xfrm>
          <a:off x="7315200" y="1247775"/>
          <a:ext cx="457200" cy="342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304800</xdr:colOff>
      <xdr:row>23</xdr:row>
      <xdr:rowOff>142875</xdr:rowOff>
    </xdr:from>
    <xdr:to>
      <xdr:col>14</xdr:col>
      <xdr:colOff>514350</xdr:colOff>
      <xdr:row>29</xdr:row>
      <xdr:rowOff>85725</xdr:rowOff>
    </xdr:to>
    <xdr:sp macro="" textlink="">
      <xdr:nvSpPr>
        <xdr:cNvPr id="16436" name="Line 7">
          <a:extLst>
            <a:ext uri="{FF2B5EF4-FFF2-40B4-BE49-F238E27FC236}">
              <a16:creationId xmlns:a16="http://schemas.microsoft.com/office/drawing/2014/main" id="{00000000-0008-0000-2500-000034400000}"/>
            </a:ext>
          </a:extLst>
        </xdr:cNvPr>
        <xdr:cNvSpPr>
          <a:spLocks noChangeShapeType="1"/>
        </xdr:cNvSpPr>
      </xdr:nvSpPr>
      <xdr:spPr bwMode="auto">
        <a:xfrm flipV="1">
          <a:off x="4857750" y="3533775"/>
          <a:ext cx="3114675" cy="800100"/>
        </a:xfrm>
        <a:prstGeom prst="line">
          <a:avLst/>
        </a:prstGeom>
        <a:noFill/>
        <a:ln w="15875">
          <a:solidFill>
            <a:srgbClr val="FF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485775</xdr:colOff>
      <xdr:row>25</xdr:row>
      <xdr:rowOff>28575</xdr:rowOff>
    </xdr:from>
    <xdr:to>
      <xdr:col>15</xdr:col>
      <xdr:colOff>533400</xdr:colOff>
      <xdr:row>27</xdr:row>
      <xdr:rowOff>9525</xdr:rowOff>
    </xdr:to>
    <xdr:sp macro="" textlink="">
      <xdr:nvSpPr>
        <xdr:cNvPr id="16437" name="Line 9">
          <a:extLst>
            <a:ext uri="{FF2B5EF4-FFF2-40B4-BE49-F238E27FC236}">
              <a16:creationId xmlns:a16="http://schemas.microsoft.com/office/drawing/2014/main" id="{00000000-0008-0000-2500-000035400000}"/>
            </a:ext>
          </a:extLst>
        </xdr:cNvPr>
        <xdr:cNvSpPr>
          <a:spLocks noChangeShapeType="1"/>
        </xdr:cNvSpPr>
      </xdr:nvSpPr>
      <xdr:spPr bwMode="auto">
        <a:xfrm>
          <a:off x="8524875" y="3724275"/>
          <a:ext cx="47625" cy="285750"/>
        </a:xfrm>
        <a:prstGeom prst="line">
          <a:avLst/>
        </a:prstGeom>
        <a:noFill/>
        <a:ln w="15875">
          <a:solidFill>
            <a:srgbClr val="FF00FF"/>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xdr:row>
      <xdr:rowOff>19050</xdr:rowOff>
    </xdr:from>
    <xdr:to>
      <xdr:col>2</xdr:col>
      <xdr:colOff>514350</xdr:colOff>
      <xdr:row>4</xdr:row>
      <xdr:rowOff>114300</xdr:rowOff>
    </xdr:to>
    <xdr:pic>
      <xdr:nvPicPr>
        <xdr:cNvPr id="37891" name="Picture 1" descr="ACCA">
          <a:extLst>
            <a:ext uri="{FF2B5EF4-FFF2-40B4-BE49-F238E27FC236}">
              <a16:creationId xmlns:a16="http://schemas.microsoft.com/office/drawing/2014/main" id="{00000000-0008-0000-0300-0000039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80975"/>
          <a:ext cx="10287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xdr:colOff>
      <xdr:row>1</xdr:row>
      <xdr:rowOff>123825</xdr:rowOff>
    </xdr:from>
    <xdr:to>
      <xdr:col>2</xdr:col>
      <xdr:colOff>209550</xdr:colOff>
      <xdr:row>5</xdr:row>
      <xdr:rowOff>95250</xdr:rowOff>
    </xdr:to>
    <xdr:pic>
      <xdr:nvPicPr>
        <xdr:cNvPr id="4207" name="Picture 9" descr="ACCA">
          <a:extLst>
            <a:ext uri="{FF2B5EF4-FFF2-40B4-BE49-F238E27FC236}">
              <a16:creationId xmlns:a16="http://schemas.microsoft.com/office/drawing/2014/main" id="{00000000-0008-0000-0600-00006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276225"/>
          <a:ext cx="10287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39</xdr:col>
      <xdr:colOff>0</xdr:colOff>
      <xdr:row>13</xdr:row>
      <xdr:rowOff>133350</xdr:rowOff>
    </xdr:from>
    <xdr:to>
      <xdr:col>42</xdr:col>
      <xdr:colOff>161925</xdr:colOff>
      <xdr:row>16</xdr:row>
      <xdr:rowOff>0</xdr:rowOff>
    </xdr:to>
    <xdr:sp macro="" textlink="">
      <xdr:nvSpPr>
        <xdr:cNvPr id="26708" name="Line 7">
          <a:extLst>
            <a:ext uri="{FF2B5EF4-FFF2-40B4-BE49-F238E27FC236}">
              <a16:creationId xmlns:a16="http://schemas.microsoft.com/office/drawing/2014/main" id="{00000000-0008-0000-0A00-000054680000}"/>
            </a:ext>
          </a:extLst>
        </xdr:cNvPr>
        <xdr:cNvSpPr>
          <a:spLocks noChangeShapeType="1"/>
        </xdr:cNvSpPr>
      </xdr:nvSpPr>
      <xdr:spPr bwMode="auto">
        <a:xfrm flipH="1">
          <a:off x="6924675" y="2238375"/>
          <a:ext cx="704850" cy="352425"/>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16</xdr:row>
      <xdr:rowOff>0</xdr:rowOff>
    </xdr:from>
    <xdr:to>
      <xdr:col>43</xdr:col>
      <xdr:colOff>0</xdr:colOff>
      <xdr:row>16</xdr:row>
      <xdr:rowOff>0</xdr:rowOff>
    </xdr:to>
    <xdr:sp macro="" textlink="">
      <xdr:nvSpPr>
        <xdr:cNvPr id="26709" name="Line 8">
          <a:extLst>
            <a:ext uri="{FF2B5EF4-FFF2-40B4-BE49-F238E27FC236}">
              <a16:creationId xmlns:a16="http://schemas.microsoft.com/office/drawing/2014/main" id="{00000000-0008-0000-0A00-000055680000}"/>
            </a:ext>
          </a:extLst>
        </xdr:cNvPr>
        <xdr:cNvSpPr>
          <a:spLocks noChangeShapeType="1"/>
        </xdr:cNvSpPr>
      </xdr:nvSpPr>
      <xdr:spPr bwMode="auto">
        <a:xfrm>
          <a:off x="6924675" y="2590800"/>
          <a:ext cx="7239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0</xdr:rowOff>
    </xdr:from>
    <xdr:to>
      <xdr:col>42</xdr:col>
      <xdr:colOff>0</xdr:colOff>
      <xdr:row>18</xdr:row>
      <xdr:rowOff>0</xdr:rowOff>
    </xdr:to>
    <xdr:sp macro="" textlink="">
      <xdr:nvSpPr>
        <xdr:cNvPr id="26710" name="Line 9">
          <a:extLst>
            <a:ext uri="{FF2B5EF4-FFF2-40B4-BE49-F238E27FC236}">
              <a16:creationId xmlns:a16="http://schemas.microsoft.com/office/drawing/2014/main" id="{00000000-0008-0000-0A00-000056680000}"/>
            </a:ext>
          </a:extLst>
        </xdr:cNvPr>
        <xdr:cNvSpPr>
          <a:spLocks noChangeShapeType="1"/>
        </xdr:cNvSpPr>
      </xdr:nvSpPr>
      <xdr:spPr bwMode="auto">
        <a:xfrm>
          <a:off x="7467600" y="2590800"/>
          <a:ext cx="0" cy="323850"/>
        </a:xfrm>
        <a:prstGeom prst="line">
          <a:avLst/>
        </a:prstGeom>
        <a:noFill/>
        <a:ln w="762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18</xdr:row>
      <xdr:rowOff>0</xdr:rowOff>
    </xdr:from>
    <xdr:to>
      <xdr:col>42</xdr:col>
      <xdr:colOff>0</xdr:colOff>
      <xdr:row>22</xdr:row>
      <xdr:rowOff>0</xdr:rowOff>
    </xdr:to>
    <xdr:sp macro="" textlink="">
      <xdr:nvSpPr>
        <xdr:cNvPr id="26711" name="Line 10">
          <a:extLst>
            <a:ext uri="{FF2B5EF4-FFF2-40B4-BE49-F238E27FC236}">
              <a16:creationId xmlns:a16="http://schemas.microsoft.com/office/drawing/2014/main" id="{00000000-0008-0000-0A00-000057680000}"/>
            </a:ext>
          </a:extLst>
        </xdr:cNvPr>
        <xdr:cNvSpPr>
          <a:spLocks noChangeShapeType="1"/>
        </xdr:cNvSpPr>
      </xdr:nvSpPr>
      <xdr:spPr bwMode="auto">
        <a:xfrm>
          <a:off x="7467600" y="2914650"/>
          <a:ext cx="0" cy="64770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22</xdr:row>
      <xdr:rowOff>0</xdr:rowOff>
    </xdr:from>
    <xdr:to>
      <xdr:col>42</xdr:col>
      <xdr:colOff>0</xdr:colOff>
      <xdr:row>24</xdr:row>
      <xdr:rowOff>0</xdr:rowOff>
    </xdr:to>
    <xdr:sp macro="" textlink="">
      <xdr:nvSpPr>
        <xdr:cNvPr id="26712" name="Line 11">
          <a:extLst>
            <a:ext uri="{FF2B5EF4-FFF2-40B4-BE49-F238E27FC236}">
              <a16:creationId xmlns:a16="http://schemas.microsoft.com/office/drawing/2014/main" id="{00000000-0008-0000-0A00-000058680000}"/>
            </a:ext>
          </a:extLst>
        </xdr:cNvPr>
        <xdr:cNvSpPr>
          <a:spLocks noChangeShapeType="1"/>
        </xdr:cNvSpPr>
      </xdr:nvSpPr>
      <xdr:spPr bwMode="auto">
        <a:xfrm>
          <a:off x="7467600" y="3562350"/>
          <a:ext cx="0" cy="323850"/>
        </a:xfrm>
        <a:prstGeom prst="line">
          <a:avLst/>
        </a:prstGeom>
        <a:noFill/>
        <a:ln w="762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142875</xdr:colOff>
      <xdr:row>24</xdr:row>
      <xdr:rowOff>0</xdr:rowOff>
    </xdr:from>
    <xdr:to>
      <xdr:col>42</xdr:col>
      <xdr:colOff>142875</xdr:colOff>
      <xdr:row>24</xdr:row>
      <xdr:rowOff>0</xdr:rowOff>
    </xdr:to>
    <xdr:sp macro="" textlink="">
      <xdr:nvSpPr>
        <xdr:cNvPr id="26713" name="Line 12">
          <a:extLst>
            <a:ext uri="{FF2B5EF4-FFF2-40B4-BE49-F238E27FC236}">
              <a16:creationId xmlns:a16="http://schemas.microsoft.com/office/drawing/2014/main" id="{00000000-0008-0000-0A00-000059680000}"/>
            </a:ext>
          </a:extLst>
        </xdr:cNvPr>
        <xdr:cNvSpPr>
          <a:spLocks noChangeShapeType="1"/>
        </xdr:cNvSpPr>
      </xdr:nvSpPr>
      <xdr:spPr bwMode="auto">
        <a:xfrm>
          <a:off x="7429500" y="3886200"/>
          <a:ext cx="180975" cy="0"/>
        </a:xfrm>
        <a:prstGeom prst="line">
          <a:avLst/>
        </a:prstGeom>
        <a:noFill/>
        <a:ln w="762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14</xdr:row>
      <xdr:rowOff>0</xdr:rowOff>
    </xdr:from>
    <xdr:to>
      <xdr:col>42</xdr:col>
      <xdr:colOff>0</xdr:colOff>
      <xdr:row>14</xdr:row>
      <xdr:rowOff>0</xdr:rowOff>
    </xdr:to>
    <xdr:sp macro="" textlink="">
      <xdr:nvSpPr>
        <xdr:cNvPr id="26714" name="Line 14">
          <a:extLst>
            <a:ext uri="{FF2B5EF4-FFF2-40B4-BE49-F238E27FC236}">
              <a16:creationId xmlns:a16="http://schemas.microsoft.com/office/drawing/2014/main" id="{00000000-0008-0000-0A00-00005A680000}"/>
            </a:ext>
          </a:extLst>
        </xdr:cNvPr>
        <xdr:cNvSpPr>
          <a:spLocks noChangeShapeType="1"/>
        </xdr:cNvSpPr>
      </xdr:nvSpPr>
      <xdr:spPr bwMode="auto">
        <a:xfrm flipH="1">
          <a:off x="6924675" y="2266950"/>
          <a:ext cx="542925"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0</xdr:colOff>
      <xdr:row>16</xdr:row>
      <xdr:rowOff>0</xdr:rowOff>
    </xdr:from>
    <xdr:to>
      <xdr:col>41</xdr:col>
      <xdr:colOff>0</xdr:colOff>
      <xdr:row>18</xdr:row>
      <xdr:rowOff>0</xdr:rowOff>
    </xdr:to>
    <xdr:sp macro="" textlink="">
      <xdr:nvSpPr>
        <xdr:cNvPr id="26715" name="Line 15">
          <a:extLst>
            <a:ext uri="{FF2B5EF4-FFF2-40B4-BE49-F238E27FC236}">
              <a16:creationId xmlns:a16="http://schemas.microsoft.com/office/drawing/2014/main" id="{00000000-0008-0000-0A00-00005B680000}"/>
            </a:ext>
          </a:extLst>
        </xdr:cNvPr>
        <xdr:cNvSpPr>
          <a:spLocks noChangeShapeType="1"/>
        </xdr:cNvSpPr>
      </xdr:nvSpPr>
      <xdr:spPr bwMode="auto">
        <a:xfrm flipV="1">
          <a:off x="7286625" y="2590800"/>
          <a:ext cx="0" cy="32385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35</xdr:row>
          <xdr:rowOff>0</xdr:rowOff>
        </xdr:from>
        <xdr:to>
          <xdr:col>15</xdr:col>
          <xdr:colOff>0</xdr:colOff>
          <xdr:row>39</xdr:row>
          <xdr:rowOff>9525</xdr:rowOff>
        </xdr:to>
        <xdr:sp macro="" textlink="">
          <xdr:nvSpPr>
            <xdr:cNvPr id="32770" name="Group Box 2" hidden="1">
              <a:extLst>
                <a:ext uri="{63B3BB69-23CF-44E3-9099-C40C66FF867C}">
                  <a14:compatExt spid="_x0000_s32770"/>
                </a:ext>
                <a:ext uri="{FF2B5EF4-FFF2-40B4-BE49-F238E27FC236}">
                  <a16:creationId xmlns:a16="http://schemas.microsoft.com/office/drawing/2014/main" id="{00000000-0008-0000-1100-0000028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35</xdr:row>
          <xdr:rowOff>0</xdr:rowOff>
        </xdr:from>
        <xdr:to>
          <xdr:col>11</xdr:col>
          <xdr:colOff>0</xdr:colOff>
          <xdr:row>36</xdr:row>
          <xdr:rowOff>76200</xdr:rowOff>
        </xdr:to>
        <xdr:sp macro="" textlink="">
          <xdr:nvSpPr>
            <xdr:cNvPr id="32771" name="Option Button 3" hidden="1">
              <a:extLst>
                <a:ext uri="{63B3BB69-23CF-44E3-9099-C40C66FF867C}">
                  <a14:compatExt spid="_x0000_s32771"/>
                </a:ext>
                <a:ext uri="{FF2B5EF4-FFF2-40B4-BE49-F238E27FC236}">
                  <a16:creationId xmlns:a16="http://schemas.microsoft.com/office/drawing/2014/main" id="{00000000-0008-0000-1100-00000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Draw Thru Blower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0</xdr:rowOff>
        </xdr:from>
        <xdr:to>
          <xdr:col>12</xdr:col>
          <xdr:colOff>0</xdr:colOff>
          <xdr:row>38</xdr:row>
          <xdr:rowOff>0</xdr:rowOff>
        </xdr:to>
        <xdr:sp macro="" textlink="">
          <xdr:nvSpPr>
            <xdr:cNvPr id="32772" name="Option Button 4" hidden="1">
              <a:extLst>
                <a:ext uri="{63B3BB69-23CF-44E3-9099-C40C66FF867C}">
                  <a14:compatExt spid="_x0000_s32772"/>
                </a:ext>
                <a:ext uri="{FF2B5EF4-FFF2-40B4-BE49-F238E27FC236}">
                  <a16:creationId xmlns:a16="http://schemas.microsoft.com/office/drawing/2014/main" id="{00000000-0008-0000-1100-00000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Blow Thru Blower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76200</xdr:rowOff>
        </xdr:from>
        <xdr:to>
          <xdr:col>10</xdr:col>
          <xdr:colOff>0</xdr:colOff>
          <xdr:row>39</xdr:row>
          <xdr:rowOff>9525</xdr:rowOff>
        </xdr:to>
        <xdr:sp macro="" textlink="">
          <xdr:nvSpPr>
            <xdr:cNvPr id="32773" name="Check Box 5" hidden="1">
              <a:extLst>
                <a:ext uri="{63B3BB69-23CF-44E3-9099-C40C66FF867C}">
                  <a14:compatExt spid="_x0000_s32773"/>
                </a:ext>
                <a:ext uri="{FF2B5EF4-FFF2-40B4-BE49-F238E27FC236}">
                  <a16:creationId xmlns:a16="http://schemas.microsoft.com/office/drawing/2014/main" id="{00000000-0008-0000-1100-000005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Additional Return Fan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39</xdr:row>
          <xdr:rowOff>0</xdr:rowOff>
        </xdr:from>
        <xdr:to>
          <xdr:col>14</xdr:col>
          <xdr:colOff>142875</xdr:colOff>
          <xdr:row>39</xdr:row>
          <xdr:rowOff>171450</xdr:rowOff>
        </xdr:to>
        <xdr:sp macro="" textlink="">
          <xdr:nvSpPr>
            <xdr:cNvPr id="32774" name="Check Box 6" hidden="1">
              <a:extLst>
                <a:ext uri="{63B3BB69-23CF-44E3-9099-C40C66FF867C}">
                  <a14:compatExt spid="_x0000_s32774"/>
                </a:ext>
                <a:ext uri="{FF2B5EF4-FFF2-40B4-BE49-F238E27FC236}">
                  <a16:creationId xmlns:a16="http://schemas.microsoft.com/office/drawing/2014/main" id="{00000000-0008-0000-1100-000006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Blower Heat Included in OEM Data</a:t>
              </a:r>
            </a:p>
          </xdr:txBody>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0</xdr:row>
          <xdr:rowOff>142875</xdr:rowOff>
        </xdr:from>
        <xdr:to>
          <xdr:col>3</xdr:col>
          <xdr:colOff>9525</xdr:colOff>
          <xdr:row>9</xdr:row>
          <xdr:rowOff>0</xdr:rowOff>
        </xdr:to>
        <xdr:sp macro="" textlink="">
          <xdr:nvSpPr>
            <xdr:cNvPr id="33808" name="Group Box 16" hidden="1">
              <a:extLst>
                <a:ext uri="{63B3BB69-23CF-44E3-9099-C40C66FF867C}">
                  <a14:compatExt spid="_x0000_s33808"/>
                </a:ext>
                <a:ext uri="{FF2B5EF4-FFF2-40B4-BE49-F238E27FC236}">
                  <a16:creationId xmlns:a16="http://schemas.microsoft.com/office/drawing/2014/main" id="{00000000-0008-0000-1600-000010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2</xdr:col>
          <xdr:colOff>0</xdr:colOff>
          <xdr:row>3</xdr:row>
          <xdr:rowOff>57150</xdr:rowOff>
        </xdr:to>
        <xdr:sp macro="" textlink="">
          <xdr:nvSpPr>
            <xdr:cNvPr id="33809" name="Option Button 17" hidden="1">
              <a:extLst>
                <a:ext uri="{63B3BB69-23CF-44E3-9099-C40C66FF867C}">
                  <a14:compatExt spid="_x0000_s33809"/>
                </a:ext>
                <a:ext uri="{FF2B5EF4-FFF2-40B4-BE49-F238E27FC236}">
                  <a16:creationId xmlns:a16="http://schemas.microsoft.com/office/drawing/2014/main" id="{00000000-0008-0000-1600-00001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Air Changes/Hour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0</xdr:rowOff>
        </xdr:from>
        <xdr:to>
          <xdr:col>1</xdr:col>
          <xdr:colOff>981075</xdr:colOff>
          <xdr:row>5</xdr:row>
          <xdr:rowOff>57150</xdr:rowOff>
        </xdr:to>
        <xdr:sp macro="" textlink="">
          <xdr:nvSpPr>
            <xdr:cNvPr id="33810" name="Option Button 18" hidden="1">
              <a:extLst>
                <a:ext uri="{63B3BB69-23CF-44E3-9099-C40C66FF867C}">
                  <a14:compatExt spid="_x0000_s33810"/>
                </a:ext>
                <a:ext uri="{FF2B5EF4-FFF2-40B4-BE49-F238E27FC236}">
                  <a16:creationId xmlns:a16="http://schemas.microsoft.com/office/drawing/2014/main" id="{00000000-0008-0000-1600-00001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Occupants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0</xdr:rowOff>
        </xdr:from>
        <xdr:to>
          <xdr:col>2</xdr:col>
          <xdr:colOff>0</xdr:colOff>
          <xdr:row>7</xdr:row>
          <xdr:rowOff>38100</xdr:rowOff>
        </xdr:to>
        <xdr:sp macro="" textlink="">
          <xdr:nvSpPr>
            <xdr:cNvPr id="33812" name="Option Button 20" hidden="1">
              <a:extLst>
                <a:ext uri="{63B3BB69-23CF-44E3-9099-C40C66FF867C}">
                  <a14:compatExt spid="_x0000_s33812"/>
                </a:ext>
                <a:ext uri="{FF2B5EF4-FFF2-40B4-BE49-F238E27FC236}">
                  <a16:creationId xmlns:a16="http://schemas.microsoft.com/office/drawing/2014/main" id="{00000000-0008-0000-1600-00001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Code CFM</a:t>
              </a:r>
            </a:p>
          </xdr:txBody>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17</xdr:col>
      <xdr:colOff>400050</xdr:colOff>
      <xdr:row>37</xdr:row>
      <xdr:rowOff>38100</xdr:rowOff>
    </xdr:from>
    <xdr:to>
      <xdr:col>19</xdr:col>
      <xdr:colOff>85725</xdr:colOff>
      <xdr:row>40</xdr:row>
      <xdr:rowOff>57150</xdr:rowOff>
    </xdr:to>
    <xdr:sp macro="" textlink="">
      <xdr:nvSpPr>
        <xdr:cNvPr id="5132" name="Line 1">
          <a:extLst>
            <a:ext uri="{FF2B5EF4-FFF2-40B4-BE49-F238E27FC236}">
              <a16:creationId xmlns:a16="http://schemas.microsoft.com/office/drawing/2014/main" id="{00000000-0008-0000-1900-00000C140000}"/>
            </a:ext>
          </a:extLst>
        </xdr:cNvPr>
        <xdr:cNvSpPr>
          <a:spLocks noChangeShapeType="1"/>
        </xdr:cNvSpPr>
      </xdr:nvSpPr>
      <xdr:spPr bwMode="auto">
        <a:xfrm>
          <a:off x="10039350" y="5181600"/>
          <a:ext cx="904875" cy="4000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104775</xdr:colOff>
      <xdr:row>7</xdr:row>
      <xdr:rowOff>76200</xdr:rowOff>
    </xdr:from>
    <xdr:to>
      <xdr:col>13</xdr:col>
      <xdr:colOff>457200</xdr:colOff>
      <xdr:row>8</xdr:row>
      <xdr:rowOff>85725</xdr:rowOff>
    </xdr:to>
    <xdr:sp macro="" textlink="">
      <xdr:nvSpPr>
        <xdr:cNvPr id="13330" name="Line 1">
          <a:extLst>
            <a:ext uri="{FF2B5EF4-FFF2-40B4-BE49-F238E27FC236}">
              <a16:creationId xmlns:a16="http://schemas.microsoft.com/office/drawing/2014/main" id="{00000000-0008-0000-1B00-000012340000}"/>
            </a:ext>
          </a:extLst>
        </xdr:cNvPr>
        <xdr:cNvSpPr>
          <a:spLocks noChangeShapeType="1"/>
        </xdr:cNvSpPr>
      </xdr:nvSpPr>
      <xdr:spPr bwMode="auto">
        <a:xfrm flipH="1">
          <a:off x="7315200" y="1143000"/>
          <a:ext cx="352425" cy="1619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57150</xdr:colOff>
      <xdr:row>9</xdr:row>
      <xdr:rowOff>57150</xdr:rowOff>
    </xdr:from>
    <xdr:to>
      <xdr:col>14</xdr:col>
      <xdr:colOff>0</xdr:colOff>
      <xdr:row>11</xdr:row>
      <xdr:rowOff>38100</xdr:rowOff>
    </xdr:to>
    <xdr:sp macro="" textlink="">
      <xdr:nvSpPr>
        <xdr:cNvPr id="13331" name="Line 2">
          <a:extLst>
            <a:ext uri="{FF2B5EF4-FFF2-40B4-BE49-F238E27FC236}">
              <a16:creationId xmlns:a16="http://schemas.microsoft.com/office/drawing/2014/main" id="{00000000-0008-0000-1B00-000013340000}"/>
            </a:ext>
          </a:extLst>
        </xdr:cNvPr>
        <xdr:cNvSpPr>
          <a:spLocks noChangeShapeType="1"/>
        </xdr:cNvSpPr>
      </xdr:nvSpPr>
      <xdr:spPr bwMode="auto">
        <a:xfrm>
          <a:off x="7267575" y="1428750"/>
          <a:ext cx="523875" cy="2857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13</xdr:col>
      <xdr:colOff>57150</xdr:colOff>
      <xdr:row>6</xdr:row>
      <xdr:rowOff>104775</xdr:rowOff>
    </xdr:from>
    <xdr:to>
      <xdr:col>13</xdr:col>
      <xdr:colOff>514350</xdr:colOff>
      <xdr:row>7</xdr:row>
      <xdr:rowOff>76200</xdr:rowOff>
    </xdr:to>
    <xdr:sp macro="" textlink="">
      <xdr:nvSpPr>
        <xdr:cNvPr id="9261" name="Line 4">
          <a:extLst>
            <a:ext uri="{FF2B5EF4-FFF2-40B4-BE49-F238E27FC236}">
              <a16:creationId xmlns:a16="http://schemas.microsoft.com/office/drawing/2014/main" id="{00000000-0008-0000-1D00-00002D240000}"/>
            </a:ext>
          </a:extLst>
        </xdr:cNvPr>
        <xdr:cNvSpPr>
          <a:spLocks noChangeShapeType="1"/>
        </xdr:cNvSpPr>
      </xdr:nvSpPr>
      <xdr:spPr bwMode="auto">
        <a:xfrm flipH="1">
          <a:off x="7267575" y="1019175"/>
          <a:ext cx="457200" cy="1238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57150</xdr:colOff>
      <xdr:row>40</xdr:row>
      <xdr:rowOff>104775</xdr:rowOff>
    </xdr:from>
    <xdr:to>
      <xdr:col>13</xdr:col>
      <xdr:colOff>504825</xdr:colOff>
      <xdr:row>42</xdr:row>
      <xdr:rowOff>142875</xdr:rowOff>
    </xdr:to>
    <xdr:sp macro="" textlink="">
      <xdr:nvSpPr>
        <xdr:cNvPr id="9262" name="Line 5">
          <a:extLst>
            <a:ext uri="{FF2B5EF4-FFF2-40B4-BE49-F238E27FC236}">
              <a16:creationId xmlns:a16="http://schemas.microsoft.com/office/drawing/2014/main" id="{00000000-0008-0000-1D00-00002E240000}"/>
            </a:ext>
          </a:extLst>
        </xdr:cNvPr>
        <xdr:cNvSpPr>
          <a:spLocks noChangeShapeType="1"/>
        </xdr:cNvSpPr>
      </xdr:nvSpPr>
      <xdr:spPr bwMode="auto">
        <a:xfrm flipH="1">
          <a:off x="7267575" y="6200775"/>
          <a:ext cx="447675" cy="342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85725</xdr:colOff>
      <xdr:row>8</xdr:row>
      <xdr:rowOff>19050</xdr:rowOff>
    </xdr:from>
    <xdr:to>
      <xdr:col>14</xdr:col>
      <xdr:colOff>28575</xdr:colOff>
      <xdr:row>10</xdr:row>
      <xdr:rowOff>47625</xdr:rowOff>
    </xdr:to>
    <xdr:sp macro="" textlink="">
      <xdr:nvSpPr>
        <xdr:cNvPr id="9263" name="Line 7">
          <a:extLst>
            <a:ext uri="{FF2B5EF4-FFF2-40B4-BE49-F238E27FC236}">
              <a16:creationId xmlns:a16="http://schemas.microsoft.com/office/drawing/2014/main" id="{00000000-0008-0000-1D00-00002F240000}"/>
            </a:ext>
          </a:extLst>
        </xdr:cNvPr>
        <xdr:cNvSpPr>
          <a:spLocks noChangeShapeType="1"/>
        </xdr:cNvSpPr>
      </xdr:nvSpPr>
      <xdr:spPr bwMode="auto">
        <a:xfrm>
          <a:off x="7296150" y="1238250"/>
          <a:ext cx="523875" cy="3333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123825</xdr:colOff>
      <xdr:row>44</xdr:row>
      <xdr:rowOff>57150</xdr:rowOff>
    </xdr:from>
    <xdr:to>
      <xdr:col>13</xdr:col>
      <xdr:colOff>485775</xdr:colOff>
      <xdr:row>46</xdr:row>
      <xdr:rowOff>0</xdr:rowOff>
    </xdr:to>
    <xdr:sp macro="" textlink="">
      <xdr:nvSpPr>
        <xdr:cNvPr id="9264" name="Line 18">
          <a:extLst>
            <a:ext uri="{FF2B5EF4-FFF2-40B4-BE49-F238E27FC236}">
              <a16:creationId xmlns:a16="http://schemas.microsoft.com/office/drawing/2014/main" id="{00000000-0008-0000-1D00-000030240000}"/>
            </a:ext>
          </a:extLst>
        </xdr:cNvPr>
        <xdr:cNvSpPr>
          <a:spLocks noChangeShapeType="1"/>
        </xdr:cNvSpPr>
      </xdr:nvSpPr>
      <xdr:spPr bwMode="auto">
        <a:xfrm>
          <a:off x="7334250" y="6762750"/>
          <a:ext cx="361950" cy="2476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customProperty" Target="../customProperty5.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_rels/sheet15.xml.rels><?xml version="1.0" encoding="UTF-8" standalone="yes"?>
<Relationships xmlns="http://schemas.openxmlformats.org/package/2006/relationships"><Relationship Id="rId1" Type="http://schemas.openxmlformats.org/officeDocument/2006/relationships/customProperty" Target="../customProperty8.bin"/></Relationships>
</file>

<file path=xl/worksheets/_rels/sheet16.xml.rels><?xml version="1.0" encoding="UTF-8" standalone="yes"?>
<Relationships xmlns="http://schemas.openxmlformats.org/package/2006/relationships"><Relationship Id="rId1" Type="http://schemas.openxmlformats.org/officeDocument/2006/relationships/customProperty" Target="../customProperty9.bin"/></Relationships>
</file>

<file path=xl/worksheets/_rels/sheet17.xml.rels><?xml version="1.0" encoding="UTF-8" standalone="yes"?>
<Relationships xmlns="http://schemas.openxmlformats.org/package/2006/relationships"><Relationship Id="rId1" Type="http://schemas.openxmlformats.org/officeDocument/2006/relationships/customProperty" Target="../customProperty10.bin"/></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5.xml"/><Relationship Id="rId7" Type="http://schemas.openxmlformats.org/officeDocument/2006/relationships/ctrlProp" Target="../ctrlProps/ctrlProp3.xml"/><Relationship Id="rId2" Type="http://schemas.openxmlformats.org/officeDocument/2006/relationships/customProperty" Target="../customProperty11.bin"/><Relationship Id="rId1" Type="http://schemas.openxmlformats.org/officeDocument/2006/relationships/printerSettings" Target="../printerSettings/printerSettings12.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3.vml"/><Relationship Id="rId9" Type="http://schemas.openxmlformats.org/officeDocument/2006/relationships/ctrlProp" Target="../ctrlProps/ctrlProp5.xml"/></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3.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9.xml"/><Relationship Id="rId2" Type="http://schemas.openxmlformats.org/officeDocument/2006/relationships/drawing" Target="../drawings/drawing6.xml"/><Relationship Id="rId1" Type="http://schemas.openxmlformats.org/officeDocument/2006/relationships/customProperty" Target="../customProperty14.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24.xml.rels><?xml version="1.0" encoding="UTF-8" standalone="yes"?>
<Relationships xmlns="http://schemas.openxmlformats.org/package/2006/relationships"><Relationship Id="rId1" Type="http://schemas.openxmlformats.org/officeDocument/2006/relationships/customProperty" Target="../customProperty15.bin"/></Relationships>
</file>

<file path=xl/worksheets/_rels/sheet25.xml.rels><?xml version="1.0" encoding="UTF-8" standalone="yes"?>
<Relationships xmlns="http://schemas.openxmlformats.org/package/2006/relationships"><Relationship Id="rId1" Type="http://schemas.openxmlformats.org/officeDocument/2006/relationships/customProperty" Target="../customProperty16.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9.bin"/><Relationship Id="rId4" Type="http://schemas.openxmlformats.org/officeDocument/2006/relationships/comments" Target="../comments4.x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1.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1.xml"/><Relationship Id="rId1" Type="http://schemas.openxmlformats.org/officeDocument/2006/relationships/printerSettings" Target="../printerSettings/printerSettings24.bin"/><Relationship Id="rId4" Type="http://schemas.openxmlformats.org/officeDocument/2006/relationships/comments" Target="../comments5.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2.xml"/><Relationship Id="rId1" Type="http://schemas.openxmlformats.org/officeDocument/2006/relationships/printerSettings" Target="../printerSettings/printerSettings25.bin"/><Relationship Id="rId4" Type="http://schemas.openxmlformats.org/officeDocument/2006/relationships/comments" Target="../comments6.xm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3.bin"/><Relationship Id="rId1" Type="http://schemas.openxmlformats.org/officeDocument/2006/relationships/hyperlink" Target="http://www.acca.org/design" TargetMode="Externa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dimension ref="A1:AS292"/>
  <sheetViews>
    <sheetView workbookViewId="0"/>
  </sheetViews>
  <sheetFormatPr defaultRowHeight="12.75" x14ac:dyDescent="0.2"/>
  <cols>
    <col min="10" max="10" width="11" customWidth="1"/>
  </cols>
  <sheetData>
    <row r="1" spans="1:6" x14ac:dyDescent="0.2">
      <c r="A1" s="978" t="s">
        <v>1527</v>
      </c>
      <c r="B1" s="978">
        <v>10</v>
      </c>
      <c r="C1" s="979">
        <f>VLOOKUP('Form N1'!P6,A1:B3,2,FALSE)</f>
        <v>30</v>
      </c>
    </row>
    <row r="2" spans="1:6" x14ac:dyDescent="0.2">
      <c r="A2" s="978" t="s">
        <v>3747</v>
      </c>
      <c r="B2" s="978">
        <v>20</v>
      </c>
    </row>
    <row r="3" spans="1:6" x14ac:dyDescent="0.2">
      <c r="A3" s="978" t="s">
        <v>831</v>
      </c>
      <c r="B3" s="978">
        <v>30</v>
      </c>
    </row>
    <row r="5" spans="1:6" x14ac:dyDescent="0.2">
      <c r="A5" s="978" t="s">
        <v>1462</v>
      </c>
    </row>
    <row r="6" spans="1:6" x14ac:dyDescent="0.2">
      <c r="A6" s="978" t="s">
        <v>1528</v>
      </c>
    </row>
    <row r="7" spans="1:6" x14ac:dyDescent="0.2">
      <c r="A7" s="978" t="s">
        <v>829</v>
      </c>
    </row>
    <row r="9" spans="1:6" x14ac:dyDescent="0.2">
      <c r="A9" s="17" t="s">
        <v>2756</v>
      </c>
      <c r="B9" s="17" t="s">
        <v>3482</v>
      </c>
      <c r="D9">
        <v>0</v>
      </c>
      <c r="E9">
        <v>20</v>
      </c>
      <c r="F9">
        <f>VLOOKUP('Form N1'!P3,KW!D9:E24,2)</f>
        <v>40</v>
      </c>
    </row>
    <row r="10" spans="1:6" x14ac:dyDescent="0.2">
      <c r="A10" s="17">
        <v>0</v>
      </c>
      <c r="B10" s="67">
        <v>1</v>
      </c>
      <c r="D10">
        <v>22</v>
      </c>
      <c r="E10">
        <v>25</v>
      </c>
    </row>
    <row r="11" spans="1:6" x14ac:dyDescent="0.2">
      <c r="A11" s="137">
        <v>500</v>
      </c>
      <c r="B11" s="67">
        <v>0.99</v>
      </c>
      <c r="D11">
        <f>D10+5</f>
        <v>27</v>
      </c>
      <c r="E11">
        <v>30</v>
      </c>
    </row>
    <row r="12" spans="1:6" x14ac:dyDescent="0.2">
      <c r="A12" s="137">
        <v>750</v>
      </c>
      <c r="B12" s="67">
        <v>0.98</v>
      </c>
      <c r="D12">
        <f t="shared" ref="D12:D24" si="0">D11+5</f>
        <v>32</v>
      </c>
      <c r="E12">
        <v>35</v>
      </c>
    </row>
    <row r="13" spans="1:6" x14ac:dyDescent="0.2">
      <c r="A13" s="137">
        <v>1000</v>
      </c>
      <c r="B13" s="67">
        <v>0.97</v>
      </c>
      <c r="D13">
        <f t="shared" si="0"/>
        <v>37</v>
      </c>
      <c r="E13">
        <v>40</v>
      </c>
    </row>
    <row r="14" spans="1:6" x14ac:dyDescent="0.2">
      <c r="A14" s="137">
        <v>1250</v>
      </c>
      <c r="B14" s="67">
        <v>0.96</v>
      </c>
      <c r="D14">
        <f t="shared" si="0"/>
        <v>42</v>
      </c>
      <c r="E14">
        <v>45</v>
      </c>
    </row>
    <row r="15" spans="1:6" x14ac:dyDescent="0.2">
      <c r="A15" s="137">
        <v>1500</v>
      </c>
      <c r="B15" s="67">
        <v>0.95</v>
      </c>
      <c r="D15">
        <f t="shared" si="0"/>
        <v>47</v>
      </c>
      <c r="E15">
        <v>50</v>
      </c>
    </row>
    <row r="16" spans="1:6" x14ac:dyDescent="0.2">
      <c r="A16" s="137">
        <v>1750</v>
      </c>
      <c r="B16" s="67">
        <v>0.94</v>
      </c>
      <c r="D16">
        <f t="shared" si="0"/>
        <v>52</v>
      </c>
      <c r="E16">
        <v>55</v>
      </c>
    </row>
    <row r="17" spans="1:5" x14ac:dyDescent="0.2">
      <c r="A17" s="137">
        <v>2000</v>
      </c>
      <c r="B17" s="67">
        <v>0.93</v>
      </c>
      <c r="D17">
        <f t="shared" si="0"/>
        <v>57</v>
      </c>
      <c r="E17">
        <v>60</v>
      </c>
    </row>
    <row r="18" spans="1:5" x14ac:dyDescent="0.2">
      <c r="A18" s="137">
        <v>2250</v>
      </c>
      <c r="B18" s="67">
        <v>0.92</v>
      </c>
      <c r="D18">
        <f t="shared" si="0"/>
        <v>62</v>
      </c>
      <c r="E18">
        <v>65</v>
      </c>
    </row>
    <row r="19" spans="1:5" x14ac:dyDescent="0.2">
      <c r="A19" s="137">
        <v>2500</v>
      </c>
      <c r="B19" s="67">
        <v>0.91</v>
      </c>
      <c r="D19">
        <f t="shared" si="0"/>
        <v>67</v>
      </c>
      <c r="E19">
        <v>70</v>
      </c>
    </row>
    <row r="20" spans="1:5" x14ac:dyDescent="0.2">
      <c r="A20" s="137">
        <v>2750</v>
      </c>
      <c r="B20" s="67">
        <v>0.9</v>
      </c>
      <c r="D20">
        <f t="shared" si="0"/>
        <v>72</v>
      </c>
      <c r="E20">
        <v>75</v>
      </c>
    </row>
    <row r="21" spans="1:5" x14ac:dyDescent="0.2">
      <c r="A21" s="137">
        <v>3000</v>
      </c>
      <c r="B21" s="67">
        <v>0.89</v>
      </c>
      <c r="D21">
        <f t="shared" si="0"/>
        <v>77</v>
      </c>
      <c r="E21">
        <v>80</v>
      </c>
    </row>
    <row r="22" spans="1:5" x14ac:dyDescent="0.2">
      <c r="A22" s="137">
        <v>3500</v>
      </c>
      <c r="B22" s="67">
        <v>0.88</v>
      </c>
      <c r="D22">
        <f t="shared" si="0"/>
        <v>82</v>
      </c>
      <c r="E22">
        <v>85</v>
      </c>
    </row>
    <row r="23" spans="1:5" x14ac:dyDescent="0.2">
      <c r="A23" s="137">
        <v>4000</v>
      </c>
      <c r="B23" s="67">
        <v>0.87</v>
      </c>
      <c r="D23">
        <f t="shared" si="0"/>
        <v>87</v>
      </c>
      <c r="E23">
        <v>90</v>
      </c>
    </row>
    <row r="24" spans="1:5" x14ac:dyDescent="0.2">
      <c r="A24" s="137">
        <v>4333</v>
      </c>
      <c r="B24" s="67">
        <v>0.86</v>
      </c>
      <c r="D24">
        <f t="shared" si="0"/>
        <v>92</v>
      </c>
      <c r="E24">
        <v>95</v>
      </c>
    </row>
    <row r="25" spans="1:5" x14ac:dyDescent="0.2">
      <c r="A25" s="137">
        <v>4666</v>
      </c>
      <c r="B25" s="67">
        <v>0.85</v>
      </c>
    </row>
    <row r="26" spans="1:5" x14ac:dyDescent="0.2">
      <c r="A26" s="137">
        <v>5000</v>
      </c>
      <c r="B26" s="67">
        <v>0.84</v>
      </c>
    </row>
    <row r="27" spans="1:5" x14ac:dyDescent="0.2">
      <c r="A27" s="137">
        <v>5250</v>
      </c>
      <c r="B27" s="67">
        <v>0.83</v>
      </c>
    </row>
    <row r="28" spans="1:5" x14ac:dyDescent="0.2">
      <c r="A28" s="137">
        <v>5500</v>
      </c>
      <c r="B28" s="67">
        <v>0.82</v>
      </c>
    </row>
    <row r="29" spans="1:5" x14ac:dyDescent="0.2">
      <c r="A29" s="137">
        <v>5750</v>
      </c>
      <c r="B29" s="67">
        <v>0.81</v>
      </c>
    </row>
    <row r="30" spans="1:5" x14ac:dyDescent="0.2">
      <c r="A30" s="137">
        <v>6000</v>
      </c>
      <c r="B30" s="67">
        <v>0.8</v>
      </c>
    </row>
    <row r="31" spans="1:5" x14ac:dyDescent="0.2">
      <c r="A31" s="137">
        <v>6333</v>
      </c>
      <c r="B31" s="67">
        <v>0.79</v>
      </c>
    </row>
    <row r="32" spans="1:5" x14ac:dyDescent="0.2">
      <c r="A32" s="137">
        <v>6666</v>
      </c>
      <c r="B32" s="67">
        <v>0.78</v>
      </c>
    </row>
    <row r="33" spans="1:2" x14ac:dyDescent="0.2">
      <c r="A33" s="137">
        <v>7000</v>
      </c>
      <c r="B33" s="67">
        <v>0.77</v>
      </c>
    </row>
    <row r="34" spans="1:2" x14ac:dyDescent="0.2">
      <c r="A34" s="137">
        <v>7500</v>
      </c>
      <c r="B34" s="67">
        <v>0.76</v>
      </c>
    </row>
    <row r="35" spans="1:2" x14ac:dyDescent="0.2">
      <c r="A35" s="137">
        <v>8000</v>
      </c>
      <c r="B35" s="67">
        <v>0.75</v>
      </c>
    </row>
    <row r="36" spans="1:2" x14ac:dyDescent="0.2">
      <c r="A36" s="137">
        <v>8333</v>
      </c>
      <c r="B36" s="67">
        <v>0.74</v>
      </c>
    </row>
    <row r="37" spans="1:2" x14ac:dyDescent="0.2">
      <c r="A37" s="137">
        <v>8666</v>
      </c>
      <c r="B37" s="67">
        <v>0.73</v>
      </c>
    </row>
    <row r="38" spans="1:2" x14ac:dyDescent="0.2">
      <c r="A38" s="137">
        <v>9000</v>
      </c>
      <c r="B38" s="67">
        <v>0.72</v>
      </c>
    </row>
    <row r="39" spans="1:2" x14ac:dyDescent="0.2">
      <c r="A39" s="137">
        <v>9333</v>
      </c>
      <c r="B39" s="67">
        <v>0.71</v>
      </c>
    </row>
    <row r="40" spans="1:2" x14ac:dyDescent="0.2">
      <c r="A40" s="137">
        <v>9666</v>
      </c>
      <c r="B40" s="67">
        <v>0.7</v>
      </c>
    </row>
    <row r="41" spans="1:2" x14ac:dyDescent="0.2">
      <c r="A41" s="137">
        <v>10000</v>
      </c>
      <c r="B41" s="67">
        <v>0.69</v>
      </c>
    </row>
    <row r="42" spans="1:2" x14ac:dyDescent="0.2">
      <c r="A42" s="137">
        <v>10333</v>
      </c>
      <c r="B42" s="67">
        <v>0.68</v>
      </c>
    </row>
    <row r="43" spans="1:2" x14ac:dyDescent="0.2">
      <c r="A43" s="137">
        <v>10666</v>
      </c>
      <c r="B43" s="67">
        <v>0.67</v>
      </c>
    </row>
    <row r="44" spans="1:2" x14ac:dyDescent="0.2">
      <c r="A44" s="137">
        <v>11000</v>
      </c>
      <c r="B44" s="67">
        <v>0.66</v>
      </c>
    </row>
    <row r="45" spans="1:2" x14ac:dyDescent="0.2">
      <c r="A45" s="137">
        <v>11333</v>
      </c>
      <c r="B45" s="67">
        <v>0.65</v>
      </c>
    </row>
    <row r="46" spans="1:2" x14ac:dyDescent="0.2">
      <c r="A46" s="137">
        <v>11666</v>
      </c>
      <c r="B46" s="67">
        <v>0.64</v>
      </c>
    </row>
    <row r="47" spans="1:2" x14ac:dyDescent="0.2">
      <c r="A47" s="137">
        <v>12000</v>
      </c>
      <c r="B47" s="67">
        <v>0.63</v>
      </c>
    </row>
    <row r="49" spans="1:14" x14ac:dyDescent="0.2">
      <c r="A49" s="980">
        <v>0.375</v>
      </c>
      <c r="B49" s="66">
        <v>0.71</v>
      </c>
      <c r="C49" s="981">
        <f>VLOOKUP('Form N1'!P7,KW!A49:B52,2)</f>
        <v>0.23</v>
      </c>
      <c r="D49">
        <v>2</v>
      </c>
      <c r="E49">
        <v>9</v>
      </c>
      <c r="F49">
        <v>1</v>
      </c>
    </row>
    <row r="50" spans="1:14" ht="13.5" thickBot="1" x14ac:dyDescent="0.25">
      <c r="A50" s="980">
        <v>0.5</v>
      </c>
      <c r="B50" s="66">
        <v>0.23</v>
      </c>
      <c r="D50">
        <v>3</v>
      </c>
      <c r="E50">
        <v>12</v>
      </c>
      <c r="F50">
        <v>2</v>
      </c>
    </row>
    <row r="51" spans="1:14" x14ac:dyDescent="0.2">
      <c r="A51" s="980">
        <v>0.625</v>
      </c>
      <c r="B51" s="66">
        <v>0</v>
      </c>
      <c r="D51">
        <v>4</v>
      </c>
      <c r="E51">
        <v>15</v>
      </c>
      <c r="F51">
        <v>3</v>
      </c>
      <c r="J51" s="995" t="s">
        <v>814</v>
      </c>
      <c r="K51" s="996"/>
      <c r="L51" s="996"/>
      <c r="M51" s="996"/>
      <c r="N51" s="997"/>
    </row>
    <row r="52" spans="1:14" x14ac:dyDescent="0.2">
      <c r="A52" s="980">
        <v>0.75</v>
      </c>
      <c r="B52" s="66">
        <v>0.21</v>
      </c>
      <c r="D52">
        <v>5</v>
      </c>
      <c r="E52">
        <v>18</v>
      </c>
      <c r="F52">
        <v>4</v>
      </c>
      <c r="J52" s="998"/>
      <c r="K52" s="988" t="s">
        <v>481</v>
      </c>
      <c r="L52" s="988" t="s">
        <v>482</v>
      </c>
      <c r="M52" s="988" t="s">
        <v>483</v>
      </c>
      <c r="N52" s="999" t="s">
        <v>484</v>
      </c>
    </row>
    <row r="53" spans="1:14" x14ac:dyDescent="0.2">
      <c r="J53" s="998">
        <v>1</v>
      </c>
      <c r="K53" s="988" t="s">
        <v>799</v>
      </c>
      <c r="L53" s="988" t="s">
        <v>800</v>
      </c>
      <c r="M53" s="988" t="s">
        <v>801</v>
      </c>
      <c r="N53" s="999" t="s">
        <v>802</v>
      </c>
    </row>
    <row r="54" spans="1:14" x14ac:dyDescent="0.2">
      <c r="A54" s="982">
        <v>45</v>
      </c>
      <c r="J54" s="998">
        <v>2</v>
      </c>
      <c r="K54" s="988" t="s">
        <v>803</v>
      </c>
      <c r="L54" s="988" t="s">
        <v>804</v>
      </c>
      <c r="M54" s="988" t="s">
        <v>805</v>
      </c>
      <c r="N54" s="999" t="s">
        <v>806</v>
      </c>
    </row>
    <row r="55" spans="1:14" x14ac:dyDescent="0.2">
      <c r="A55" s="982">
        <v>50</v>
      </c>
      <c r="J55" s="998">
        <v>3</v>
      </c>
      <c r="K55" s="988" t="s">
        <v>807</v>
      </c>
      <c r="L55" s="988" t="s">
        <v>808</v>
      </c>
      <c r="M55" s="988" t="s">
        <v>809</v>
      </c>
      <c r="N55" s="999" t="s">
        <v>810</v>
      </c>
    </row>
    <row r="56" spans="1:14" x14ac:dyDescent="0.2">
      <c r="A56" s="982">
        <v>55</v>
      </c>
      <c r="J56" s="998"/>
      <c r="K56" s="988"/>
      <c r="L56" s="988"/>
      <c r="M56" s="988"/>
      <c r="N56" s="999"/>
    </row>
    <row r="57" spans="1:14" ht="13.5" thickBot="1" x14ac:dyDescent="0.25">
      <c r="J57" s="998"/>
      <c r="K57" s="985">
        <v>3</v>
      </c>
      <c r="L57" s="988"/>
      <c r="M57" s="988"/>
      <c r="N57" s="999"/>
    </row>
    <row r="58" spans="1:14" x14ac:dyDescent="0.2">
      <c r="A58" s="995" t="s">
        <v>792</v>
      </c>
      <c r="B58" s="997"/>
      <c r="J58" s="998"/>
      <c r="K58" s="985" t="s">
        <v>484</v>
      </c>
      <c r="L58" s="988"/>
      <c r="M58" s="988"/>
      <c r="N58" s="999"/>
    </row>
    <row r="59" spans="1:14" ht="13.5" thickBot="1" x14ac:dyDescent="0.25">
      <c r="A59" s="998" t="s">
        <v>793</v>
      </c>
      <c r="B59" s="999"/>
      <c r="J59" s="1000"/>
      <c r="K59" s="1001" t="str">
        <f>INDEX(J52:N55,MATCH(K57,J52:J55),MATCH(K58,J52:N52))</f>
        <v>3d</v>
      </c>
      <c r="L59" s="1002"/>
      <c r="M59" s="1002"/>
      <c r="N59" s="1003"/>
    </row>
    <row r="60" spans="1:14" x14ac:dyDescent="0.2">
      <c r="A60" s="998" t="s">
        <v>795</v>
      </c>
      <c r="B60" s="999"/>
    </row>
    <row r="61" spans="1:14" ht="13.5" thickBot="1" x14ac:dyDescent="0.25">
      <c r="A61" s="1000" t="s">
        <v>794</v>
      </c>
      <c r="B61" s="1003"/>
    </row>
    <row r="63" spans="1:14" x14ac:dyDescent="0.2">
      <c r="B63" s="1313" t="s">
        <v>3480</v>
      </c>
      <c r="C63" s="1314"/>
      <c r="D63" s="1314"/>
      <c r="E63" s="1314"/>
      <c r="F63" s="1314"/>
      <c r="G63" s="1315"/>
      <c r="I63" t="s">
        <v>811</v>
      </c>
      <c r="J63" t="s">
        <v>824</v>
      </c>
      <c r="K63" t="s">
        <v>812</v>
      </c>
    </row>
    <row r="64" spans="1:14" x14ac:dyDescent="0.2">
      <c r="B64">
        <v>20</v>
      </c>
      <c r="C64">
        <v>28</v>
      </c>
      <c r="D64">
        <v>36</v>
      </c>
      <c r="E64">
        <v>44</v>
      </c>
      <c r="F64">
        <v>52</v>
      </c>
      <c r="G64">
        <v>60</v>
      </c>
      <c r="I64" s="1091">
        <f>VLOOKUP(J64,A76:A81,1)</f>
        <v>36</v>
      </c>
      <c r="J64" s="1091">
        <f>'Form N1'!M6</f>
        <v>36</v>
      </c>
      <c r="K64" s="1091">
        <f>VLOOKUP(J64,A76:B81,2)</f>
        <v>44</v>
      </c>
    </row>
    <row r="65" spans="1:11" x14ac:dyDescent="0.2">
      <c r="A65" t="s">
        <v>830</v>
      </c>
      <c r="B65">
        <v>220</v>
      </c>
      <c r="C65">
        <v>220</v>
      </c>
      <c r="D65">
        <v>218</v>
      </c>
      <c r="E65">
        <v>214</v>
      </c>
      <c r="F65">
        <v>208</v>
      </c>
      <c r="G65">
        <v>199</v>
      </c>
      <c r="I65" s="1091">
        <f>INDEX($A$64:$G$72,MATCH(A65,$A$64:$A$72),MATCH($J$64,$A$64:$G$64))</f>
        <v>218</v>
      </c>
      <c r="J65" s="1091">
        <f t="shared" ref="J65:J73" si="1">I65-((I65-K65)/($K$64-$I$64))*($J$64-$I$64)</f>
        <v>218</v>
      </c>
      <c r="K65" s="1091">
        <f t="shared" ref="K65:K72" si="2">INDEX($A$64:$G$72,MATCH(A65,$A$64:$A$72),MATCH($K$64,$A$64:$G$64))</f>
        <v>214</v>
      </c>
    </row>
    <row r="66" spans="1:11" x14ac:dyDescent="0.2">
      <c r="A66" t="s">
        <v>2972</v>
      </c>
      <c r="B66">
        <v>280</v>
      </c>
      <c r="C66">
        <v>272</v>
      </c>
      <c r="D66">
        <v>257</v>
      </c>
      <c r="E66">
        <v>236</v>
      </c>
      <c r="F66">
        <v>208</v>
      </c>
      <c r="G66">
        <v>176</v>
      </c>
      <c r="I66" s="1091">
        <f>INDEX($A$64:$G$73,MATCH(A66,$A$64:$A$73),MATCH($J$64,$A$64:$G$64))</f>
        <v>257</v>
      </c>
      <c r="J66" s="1091">
        <f t="shared" si="1"/>
        <v>257</v>
      </c>
      <c r="K66" s="1091">
        <f t="shared" si="2"/>
        <v>236</v>
      </c>
    </row>
    <row r="67" spans="1:11" x14ac:dyDescent="0.2">
      <c r="A67" t="s">
        <v>815</v>
      </c>
      <c r="B67">
        <v>162</v>
      </c>
      <c r="C67">
        <v>149</v>
      </c>
      <c r="D67">
        <v>138</v>
      </c>
      <c r="E67">
        <v>132</v>
      </c>
      <c r="F67">
        <v>124</v>
      </c>
      <c r="G67">
        <v>114</v>
      </c>
      <c r="I67" s="1091">
        <f t="shared" ref="I67:I72" si="3">INDEX($A$64:$G$72,MATCH(A67,$A$64:$A$72),MATCH($J$64,$A$64:$G$64))</f>
        <v>138</v>
      </c>
      <c r="J67" s="1091">
        <f t="shared" si="1"/>
        <v>138</v>
      </c>
      <c r="K67" s="1091">
        <f t="shared" si="2"/>
        <v>132</v>
      </c>
    </row>
    <row r="68" spans="1:11" x14ac:dyDescent="0.2">
      <c r="A68" t="s">
        <v>2758</v>
      </c>
      <c r="B68">
        <v>40</v>
      </c>
      <c r="C68">
        <v>38</v>
      </c>
      <c r="D68">
        <v>36</v>
      </c>
      <c r="E68">
        <v>34</v>
      </c>
      <c r="F68">
        <v>32</v>
      </c>
      <c r="G68">
        <v>28</v>
      </c>
      <c r="I68" s="1091">
        <f t="shared" si="3"/>
        <v>36</v>
      </c>
      <c r="J68" s="1091">
        <f t="shared" si="1"/>
        <v>36</v>
      </c>
      <c r="K68" s="1091">
        <f t="shared" si="2"/>
        <v>34</v>
      </c>
    </row>
    <row r="69" spans="1:11" x14ac:dyDescent="0.2">
      <c r="A69" t="s">
        <v>818</v>
      </c>
      <c r="B69">
        <v>162</v>
      </c>
      <c r="C69">
        <v>149</v>
      </c>
      <c r="D69">
        <v>138</v>
      </c>
      <c r="E69">
        <v>132</v>
      </c>
      <c r="F69">
        <v>124</v>
      </c>
      <c r="G69">
        <v>114</v>
      </c>
      <c r="I69" s="1091">
        <f t="shared" si="3"/>
        <v>138</v>
      </c>
      <c r="J69" s="1091">
        <f t="shared" si="1"/>
        <v>138</v>
      </c>
      <c r="K69" s="1091">
        <f t="shared" si="2"/>
        <v>132</v>
      </c>
    </row>
    <row r="70" spans="1:11" x14ac:dyDescent="0.2">
      <c r="A70" t="s">
        <v>816</v>
      </c>
      <c r="B70">
        <v>152</v>
      </c>
      <c r="C70">
        <v>172</v>
      </c>
      <c r="D70">
        <v>189</v>
      </c>
      <c r="E70">
        <v>202</v>
      </c>
      <c r="F70">
        <v>212</v>
      </c>
      <c r="G70">
        <v>217</v>
      </c>
      <c r="I70" s="1091">
        <f t="shared" si="3"/>
        <v>189</v>
      </c>
      <c r="J70" s="1091">
        <f t="shared" si="1"/>
        <v>189</v>
      </c>
      <c r="K70" s="1091">
        <f t="shared" si="2"/>
        <v>202</v>
      </c>
    </row>
    <row r="71" spans="1:11" x14ac:dyDescent="0.2">
      <c r="A71" t="s">
        <v>1531</v>
      </c>
      <c r="B71">
        <v>57</v>
      </c>
      <c r="C71">
        <v>91</v>
      </c>
      <c r="D71">
        <v>131</v>
      </c>
      <c r="E71">
        <v>165</v>
      </c>
      <c r="F71">
        <v>193</v>
      </c>
      <c r="G71">
        <v>211</v>
      </c>
      <c r="I71" s="1091">
        <f t="shared" si="3"/>
        <v>131</v>
      </c>
      <c r="J71" s="1091">
        <f t="shared" si="1"/>
        <v>131</v>
      </c>
      <c r="K71" s="1091">
        <f t="shared" si="2"/>
        <v>165</v>
      </c>
    </row>
    <row r="72" spans="1:11" x14ac:dyDescent="0.2">
      <c r="A72" t="s">
        <v>817</v>
      </c>
      <c r="B72">
        <v>152</v>
      </c>
      <c r="C72">
        <v>172</v>
      </c>
      <c r="D72">
        <v>189</v>
      </c>
      <c r="E72">
        <v>202</v>
      </c>
      <c r="F72">
        <v>212</v>
      </c>
      <c r="G72">
        <v>217</v>
      </c>
      <c r="I72" s="1091">
        <f t="shared" si="3"/>
        <v>189</v>
      </c>
      <c r="J72" s="1091">
        <f t="shared" si="1"/>
        <v>189</v>
      </c>
      <c r="K72" s="1091">
        <f t="shared" si="2"/>
        <v>202</v>
      </c>
    </row>
    <row r="73" spans="1:11" x14ac:dyDescent="0.2">
      <c r="A73" t="s">
        <v>2759</v>
      </c>
      <c r="B73">
        <v>220</v>
      </c>
      <c r="C73">
        <v>220</v>
      </c>
      <c r="D73">
        <v>218</v>
      </c>
      <c r="E73">
        <v>214</v>
      </c>
      <c r="F73">
        <v>208</v>
      </c>
      <c r="G73">
        <v>199</v>
      </c>
      <c r="I73" s="1091">
        <f>INDEX($A$64:$G$73,MATCH(A73,$A$64:$A$73),MATCH($J$64,$A$64:$G$64))</f>
        <v>218</v>
      </c>
      <c r="J73" s="1091">
        <f t="shared" si="1"/>
        <v>218</v>
      </c>
      <c r="K73" s="1091">
        <f>INDEX($A$64:$G$73,MATCH(A73,$A$64:$A$73),MATCH($K$64,$A$64:$G$64))</f>
        <v>214</v>
      </c>
    </row>
    <row r="75" spans="1:11" x14ac:dyDescent="0.2">
      <c r="A75" t="s">
        <v>3480</v>
      </c>
    </row>
    <row r="76" spans="1:11" x14ac:dyDescent="0.2">
      <c r="A76">
        <v>20</v>
      </c>
      <c r="B76">
        <v>28</v>
      </c>
      <c r="F76" t="s">
        <v>819</v>
      </c>
      <c r="G76">
        <v>6</v>
      </c>
      <c r="H76">
        <v>7</v>
      </c>
      <c r="I76">
        <v>8</v>
      </c>
      <c r="J76">
        <v>9</v>
      </c>
    </row>
    <row r="77" spans="1:11" x14ac:dyDescent="0.2">
      <c r="A77">
        <v>28</v>
      </c>
      <c r="B77">
        <v>36</v>
      </c>
      <c r="F77" t="s">
        <v>4131</v>
      </c>
      <c r="G77">
        <v>10</v>
      </c>
      <c r="H77">
        <v>11</v>
      </c>
      <c r="I77">
        <v>12</v>
      </c>
      <c r="J77">
        <v>13</v>
      </c>
    </row>
    <row r="78" spans="1:11" x14ac:dyDescent="0.2">
      <c r="A78">
        <v>36</v>
      </c>
      <c r="B78">
        <v>44</v>
      </c>
      <c r="F78" t="s">
        <v>820</v>
      </c>
      <c r="G78">
        <v>14</v>
      </c>
      <c r="H78">
        <v>15</v>
      </c>
      <c r="I78">
        <v>16</v>
      </c>
      <c r="J78">
        <v>17</v>
      </c>
    </row>
    <row r="79" spans="1:11" x14ac:dyDescent="0.2">
      <c r="A79">
        <v>44</v>
      </c>
      <c r="B79">
        <v>52</v>
      </c>
      <c r="F79" t="s">
        <v>821</v>
      </c>
      <c r="G79">
        <v>18</v>
      </c>
      <c r="H79">
        <v>19</v>
      </c>
      <c r="I79">
        <v>20</v>
      </c>
      <c r="J79">
        <v>21</v>
      </c>
    </row>
    <row r="80" spans="1:11" x14ac:dyDescent="0.2">
      <c r="A80">
        <v>52</v>
      </c>
      <c r="B80">
        <v>60</v>
      </c>
    </row>
    <row r="81" spans="1:31" x14ac:dyDescent="0.2">
      <c r="A81">
        <v>60</v>
      </c>
      <c r="B81">
        <v>68</v>
      </c>
    </row>
    <row r="82" spans="1:31" ht="13.5" thickBot="1" x14ac:dyDescent="0.25"/>
    <row r="83" spans="1:31" x14ac:dyDescent="0.2">
      <c r="B83" s="1082">
        <f>VLOOKUP(GlassI!$AR$5,$F$76:$J$79,2,FALSE)</f>
        <v>10</v>
      </c>
      <c r="C83" s="1083">
        <f>VLOOKUP(GlassI!$AR$5,$F$76:$J$79,3,FALSE)</f>
        <v>11</v>
      </c>
      <c r="D83" s="1083">
        <f>VLOOKUP(GlassI!$AR$5,$F$76:$J$79,4,FALSE)</f>
        <v>12</v>
      </c>
      <c r="E83" s="1084">
        <f>VLOOKUP(GlassI!$AR$5,$F$76:$J$79,5,FALSE)</f>
        <v>13</v>
      </c>
      <c r="F83" s="1005">
        <v>6</v>
      </c>
      <c r="G83" s="1005">
        <v>7</v>
      </c>
      <c r="H83" s="1005">
        <v>8</v>
      </c>
      <c r="I83" s="986">
        <v>9</v>
      </c>
      <c r="J83" s="1004">
        <v>10</v>
      </c>
      <c r="K83" s="1005">
        <v>11</v>
      </c>
      <c r="L83" s="1005">
        <v>12</v>
      </c>
      <c r="M83" s="986">
        <v>13</v>
      </c>
      <c r="N83" s="1004">
        <v>14</v>
      </c>
      <c r="O83" s="1005">
        <v>15</v>
      </c>
      <c r="P83" s="1005">
        <v>16</v>
      </c>
      <c r="Q83" s="986">
        <v>17</v>
      </c>
      <c r="R83" s="1004">
        <v>18</v>
      </c>
      <c r="S83" s="1005">
        <v>19</v>
      </c>
      <c r="T83" s="1005">
        <v>20</v>
      </c>
      <c r="U83" s="986">
        <v>21</v>
      </c>
    </row>
    <row r="84" spans="1:31" x14ac:dyDescent="0.2">
      <c r="A84" s="987" t="s">
        <v>822</v>
      </c>
      <c r="B84" s="1081">
        <v>9</v>
      </c>
      <c r="C84" s="978">
        <v>12</v>
      </c>
      <c r="D84" s="978">
        <v>3</v>
      </c>
      <c r="E84" s="1080">
        <v>6</v>
      </c>
      <c r="F84" s="988">
        <v>9</v>
      </c>
      <c r="G84" s="988">
        <v>12</v>
      </c>
      <c r="H84" s="988">
        <v>3</v>
      </c>
      <c r="I84" s="989">
        <v>6</v>
      </c>
      <c r="J84" s="987">
        <v>9</v>
      </c>
      <c r="K84" s="988">
        <v>12</v>
      </c>
      <c r="L84" s="988">
        <v>3</v>
      </c>
      <c r="M84" s="989">
        <v>6</v>
      </c>
      <c r="N84" s="987">
        <v>9</v>
      </c>
      <c r="O84" s="988">
        <v>12</v>
      </c>
      <c r="P84" s="988">
        <v>3</v>
      </c>
      <c r="Q84" s="989">
        <v>6</v>
      </c>
      <c r="R84" s="987">
        <v>9</v>
      </c>
      <c r="S84" s="988">
        <v>12</v>
      </c>
      <c r="T84" s="988">
        <v>3</v>
      </c>
      <c r="U84" s="989">
        <v>6</v>
      </c>
    </row>
    <row r="85" spans="1:31" x14ac:dyDescent="0.2">
      <c r="A85" s="987" t="s">
        <v>2758</v>
      </c>
      <c r="B85" s="1085">
        <f>VLOOKUP($A$85,$A$85:$V$93,$B$83,FALSE)</f>
        <v>0.53</v>
      </c>
      <c r="C85" s="1086">
        <f>VLOOKUP(A85,$A$85:$V$93,$C$83,FALSE)</f>
        <v>0.7</v>
      </c>
      <c r="D85" s="1086">
        <f>VLOOKUP($A$85,$A$85:$V$93,$D$83,FALSE)</f>
        <v>0.76</v>
      </c>
      <c r="E85" s="1087">
        <f>VLOOKUP($A$85,$A$85:$V$93,$E$83,FALSE)</f>
        <v>0.79</v>
      </c>
      <c r="F85" s="988">
        <v>0.56000000000000005</v>
      </c>
      <c r="G85" s="988">
        <v>0.76</v>
      </c>
      <c r="H85" s="988">
        <v>0.82</v>
      </c>
      <c r="I85" s="989">
        <v>0.84</v>
      </c>
      <c r="J85" s="987">
        <v>0.53</v>
      </c>
      <c r="K85" s="1006">
        <v>0.7</v>
      </c>
      <c r="L85" s="1006">
        <v>0.76</v>
      </c>
      <c r="M85" s="989">
        <v>0.79</v>
      </c>
      <c r="N85" s="987">
        <v>0.55000000000000004</v>
      </c>
      <c r="O85" s="1006">
        <v>0.69</v>
      </c>
      <c r="P85" s="1006">
        <v>0.72</v>
      </c>
      <c r="Q85" s="989">
        <v>0.75</v>
      </c>
      <c r="R85" s="987">
        <v>0.73</v>
      </c>
      <c r="S85" s="1006">
        <v>0.89</v>
      </c>
      <c r="T85" s="1006">
        <v>0.82</v>
      </c>
      <c r="U85" s="989">
        <v>0.91</v>
      </c>
    </row>
    <row r="86" spans="1:31" x14ac:dyDescent="0.2">
      <c r="A86" s="987" t="s">
        <v>815</v>
      </c>
      <c r="B86" s="1085">
        <f t="shared" ref="B86:B93" si="4">VLOOKUP(A86,$A$85:$V$93,$B$83,FALSE)</f>
        <v>0.45</v>
      </c>
      <c r="C86" s="1086">
        <f>VLOOKUP($A86,$A$85:$V$93,$C$83,FALSE)</f>
        <v>0.33</v>
      </c>
      <c r="D86" s="1086">
        <f t="shared" ref="D86:D93" si="5">VLOOKUP($A86,$A$85:$V$93,$D$83,FALSE)</f>
        <v>0.28000000000000003</v>
      </c>
      <c r="E86" s="1087">
        <f t="shared" ref="E86:E93" si="6">VLOOKUP($A86,$A$85:$V$93,$E$83,FALSE)</f>
        <v>0.21</v>
      </c>
      <c r="F86" s="988">
        <v>0.51</v>
      </c>
      <c r="G86" s="988">
        <v>0.36</v>
      </c>
      <c r="H86" s="988">
        <v>0.28000000000000003</v>
      </c>
      <c r="I86" s="989">
        <v>0.19</v>
      </c>
      <c r="J86" s="987">
        <v>0.45</v>
      </c>
      <c r="K86" s="1006">
        <v>0.33</v>
      </c>
      <c r="L86" s="1006">
        <v>0.28000000000000003</v>
      </c>
      <c r="M86" s="989">
        <v>0.21</v>
      </c>
      <c r="N86" s="987">
        <v>0.44</v>
      </c>
      <c r="O86" s="1006">
        <v>0.31</v>
      </c>
      <c r="P86" s="1006">
        <v>0.26</v>
      </c>
      <c r="Q86" s="989">
        <v>0.2</v>
      </c>
      <c r="R86" s="987">
        <v>0.57999999999999996</v>
      </c>
      <c r="S86" s="1006">
        <v>0.27</v>
      </c>
      <c r="T86" s="1006">
        <v>0.22</v>
      </c>
      <c r="U86" s="989">
        <v>0.12</v>
      </c>
    </row>
    <row r="87" spans="1:31" x14ac:dyDescent="0.2">
      <c r="A87" s="987" t="s">
        <v>830</v>
      </c>
      <c r="B87" s="1085">
        <f t="shared" si="4"/>
        <v>0.5</v>
      </c>
      <c r="C87" s="1086">
        <f t="shared" ref="C87:C93" si="7">VLOOKUP($A87,$A$85:$V$93,$C$83,FALSE)</f>
        <v>0.39</v>
      </c>
      <c r="D87" s="1086">
        <f t="shared" si="5"/>
        <v>0.28999999999999998</v>
      </c>
      <c r="E87" s="1087">
        <f t="shared" si="6"/>
        <v>0.21</v>
      </c>
      <c r="F87" s="988">
        <v>0.56999999999999995</v>
      </c>
      <c r="G87" s="988">
        <v>0.42</v>
      </c>
      <c r="H87" s="988">
        <v>0.28999999999999998</v>
      </c>
      <c r="I87" s="989">
        <v>0.19</v>
      </c>
      <c r="J87" s="987">
        <v>0.5</v>
      </c>
      <c r="K87" s="1006">
        <v>0.39</v>
      </c>
      <c r="L87" s="1006">
        <v>0.28999999999999998</v>
      </c>
      <c r="M87" s="989">
        <v>0.21</v>
      </c>
      <c r="N87" s="987">
        <v>0.49</v>
      </c>
      <c r="O87" s="1006">
        <v>0.36</v>
      </c>
      <c r="P87" s="1006">
        <v>0.26</v>
      </c>
      <c r="Q87" s="989">
        <v>0.19</v>
      </c>
      <c r="R87" s="987">
        <v>0.76</v>
      </c>
      <c r="S87" s="1006">
        <v>0.27</v>
      </c>
      <c r="T87" s="1006">
        <v>0.2</v>
      </c>
      <c r="U87" s="989">
        <v>0.11</v>
      </c>
    </row>
    <row r="88" spans="1:31" x14ac:dyDescent="0.2">
      <c r="A88" s="987" t="s">
        <v>816</v>
      </c>
      <c r="B88" s="1085">
        <f t="shared" si="4"/>
        <v>0.48</v>
      </c>
      <c r="C88" s="1086">
        <f t="shared" si="7"/>
        <v>0.55100000000000005</v>
      </c>
      <c r="D88" s="1086">
        <f t="shared" si="5"/>
        <v>0.36</v>
      </c>
      <c r="E88" s="1087">
        <f t="shared" si="6"/>
        <v>0.25</v>
      </c>
      <c r="F88" s="988">
        <v>0.55000000000000004</v>
      </c>
      <c r="G88" s="988">
        <v>0.56999999999999995</v>
      </c>
      <c r="H88" s="988">
        <v>0.37</v>
      </c>
      <c r="I88" s="989">
        <v>0.24</v>
      </c>
      <c r="J88" s="987">
        <v>0.48</v>
      </c>
      <c r="K88" s="1006">
        <v>0.55100000000000005</v>
      </c>
      <c r="L88" s="1006">
        <v>0.36</v>
      </c>
      <c r="M88" s="989">
        <v>0.25</v>
      </c>
      <c r="N88" s="987">
        <v>0.49</v>
      </c>
      <c r="O88" s="1006">
        <v>0.48</v>
      </c>
      <c r="P88" s="1006">
        <v>0.33</v>
      </c>
      <c r="Q88" s="989">
        <v>0.24</v>
      </c>
      <c r="R88" s="987">
        <v>0.81</v>
      </c>
      <c r="S88" s="1006">
        <v>0.49</v>
      </c>
      <c r="T88" s="1006">
        <v>0.25</v>
      </c>
      <c r="U88" s="989">
        <v>0.13</v>
      </c>
    </row>
    <row r="89" spans="1:31" x14ac:dyDescent="0.2">
      <c r="A89" s="987" t="s">
        <v>1531</v>
      </c>
      <c r="B89" s="1085">
        <f t="shared" si="4"/>
        <v>0.21</v>
      </c>
      <c r="C89" s="1086">
        <f t="shared" si="7"/>
        <v>0.52</v>
      </c>
      <c r="D89" s="1086">
        <f t="shared" si="5"/>
        <v>0.53</v>
      </c>
      <c r="E89" s="1087">
        <f t="shared" si="6"/>
        <v>0.36</v>
      </c>
      <c r="F89" s="988">
        <v>0.22</v>
      </c>
      <c r="G89" s="988">
        <v>0.59</v>
      </c>
      <c r="H89" s="988">
        <v>0.59</v>
      </c>
      <c r="I89" s="989">
        <v>0.36</v>
      </c>
      <c r="J89" s="987">
        <v>0.21</v>
      </c>
      <c r="K89" s="1006">
        <v>0.52</v>
      </c>
      <c r="L89" s="1006">
        <v>0.53</v>
      </c>
      <c r="M89" s="989">
        <v>0.36</v>
      </c>
      <c r="N89" s="987">
        <v>0.24</v>
      </c>
      <c r="O89" s="1006">
        <v>0.51</v>
      </c>
      <c r="P89" s="1006">
        <v>0.5</v>
      </c>
      <c r="Q89" s="989">
        <v>0.32</v>
      </c>
      <c r="R89" s="987">
        <v>0.38</v>
      </c>
      <c r="S89" s="1006">
        <v>0.83</v>
      </c>
      <c r="T89" s="1006">
        <v>0.5</v>
      </c>
      <c r="U89" s="989">
        <v>0.19</v>
      </c>
    </row>
    <row r="90" spans="1:31" x14ac:dyDescent="0.2">
      <c r="A90" s="987" t="s">
        <v>817</v>
      </c>
      <c r="B90" s="1085">
        <f t="shared" si="4"/>
        <v>0.13</v>
      </c>
      <c r="C90" s="1086">
        <f t="shared" si="7"/>
        <v>0.23</v>
      </c>
      <c r="D90" s="1086">
        <f t="shared" si="5"/>
        <v>0.53</v>
      </c>
      <c r="E90" s="1087">
        <f t="shared" si="6"/>
        <v>0.53</v>
      </c>
      <c r="F90" s="988">
        <v>0.12</v>
      </c>
      <c r="G90" s="988">
        <v>0.24</v>
      </c>
      <c r="H90" s="988">
        <v>0.6</v>
      </c>
      <c r="I90" s="989">
        <v>0.57999999999999996</v>
      </c>
      <c r="J90" s="987">
        <v>0.13</v>
      </c>
      <c r="K90" s="1006">
        <v>0.23</v>
      </c>
      <c r="L90" s="1006">
        <v>0.53</v>
      </c>
      <c r="M90" s="989">
        <v>0.53</v>
      </c>
      <c r="N90" s="987">
        <v>0.16</v>
      </c>
      <c r="O90" s="1006">
        <v>0.25</v>
      </c>
      <c r="P90" s="1006">
        <v>0.52</v>
      </c>
      <c r="Q90" s="989">
        <v>0.49</v>
      </c>
      <c r="R90" s="987">
        <v>0.16</v>
      </c>
      <c r="S90" s="1006">
        <v>0.38</v>
      </c>
      <c r="T90" s="1006">
        <v>0.83</v>
      </c>
      <c r="U90" s="989">
        <v>0.45</v>
      </c>
    </row>
    <row r="91" spans="1:31" x14ac:dyDescent="0.2">
      <c r="A91" s="987" t="s">
        <v>2759</v>
      </c>
      <c r="B91" s="1085">
        <f t="shared" si="4"/>
        <v>0.11</v>
      </c>
      <c r="C91" s="1086">
        <f t="shared" si="7"/>
        <v>0.14000000000000001</v>
      </c>
      <c r="D91" s="1086">
        <f t="shared" si="5"/>
        <v>0.4</v>
      </c>
      <c r="E91" s="1087">
        <f t="shared" si="6"/>
        <v>0.55000000000000004</v>
      </c>
      <c r="F91" s="988">
        <v>0.1</v>
      </c>
      <c r="G91" s="988">
        <v>0.14000000000000001</v>
      </c>
      <c r="H91" s="988">
        <v>0.45</v>
      </c>
      <c r="I91" s="989">
        <v>0.61</v>
      </c>
      <c r="J91" s="987">
        <v>0.11</v>
      </c>
      <c r="K91" s="1006">
        <v>0.14000000000000001</v>
      </c>
      <c r="L91" s="1006">
        <v>0.4</v>
      </c>
      <c r="M91" s="989">
        <v>0.55000000000000004</v>
      </c>
      <c r="N91" s="987">
        <v>0.14000000000000001</v>
      </c>
      <c r="O91" s="1006">
        <v>0.16</v>
      </c>
      <c r="P91" s="1006">
        <v>0.4</v>
      </c>
      <c r="Q91" s="989">
        <v>0.52</v>
      </c>
      <c r="R91" s="987">
        <v>0.13</v>
      </c>
      <c r="S91" s="1006">
        <v>0.17</v>
      </c>
      <c r="T91" s="1006">
        <v>0.72</v>
      </c>
      <c r="U91" s="989">
        <v>0.61</v>
      </c>
    </row>
    <row r="92" spans="1:31" x14ac:dyDescent="0.2">
      <c r="A92" s="987" t="s">
        <v>818</v>
      </c>
      <c r="B92" s="1085">
        <f t="shared" si="4"/>
        <v>0.13</v>
      </c>
      <c r="C92" s="1086">
        <f t="shared" si="7"/>
        <v>0.17</v>
      </c>
      <c r="D92" s="1086">
        <f t="shared" si="5"/>
        <v>0.3</v>
      </c>
      <c r="E92" s="1087">
        <f t="shared" si="6"/>
        <v>0.54</v>
      </c>
      <c r="F92" s="988">
        <v>0.12</v>
      </c>
      <c r="G92" s="988">
        <v>0.17</v>
      </c>
      <c r="H92" s="988">
        <v>0.33</v>
      </c>
      <c r="I92" s="989">
        <v>0.6</v>
      </c>
      <c r="J92" s="987">
        <v>0.13</v>
      </c>
      <c r="K92" s="1006">
        <v>0.17</v>
      </c>
      <c r="L92" s="1006">
        <v>0.3</v>
      </c>
      <c r="M92" s="989">
        <v>0.54</v>
      </c>
      <c r="N92" s="987">
        <v>0.15</v>
      </c>
      <c r="O92" s="1006">
        <v>0.18</v>
      </c>
      <c r="P92" s="1006">
        <v>0.3</v>
      </c>
      <c r="Q92" s="989">
        <v>0.51</v>
      </c>
      <c r="R92" s="987">
        <v>0.17</v>
      </c>
      <c r="S92" s="1006">
        <v>0.21</v>
      </c>
      <c r="T92" s="1006">
        <v>0.52</v>
      </c>
      <c r="U92" s="989">
        <v>0.69</v>
      </c>
    </row>
    <row r="93" spans="1:31" ht="13.5" thickBot="1" x14ac:dyDescent="0.25">
      <c r="A93" s="990" t="s">
        <v>2972</v>
      </c>
      <c r="B93" s="1088">
        <f t="shared" si="4"/>
        <v>0.33</v>
      </c>
      <c r="C93" s="1089">
        <f t="shared" si="7"/>
        <v>0.59</v>
      </c>
      <c r="D93" s="1089">
        <f t="shared" si="5"/>
        <v>0.66</v>
      </c>
      <c r="E93" s="1090">
        <f t="shared" si="6"/>
        <v>0.47</v>
      </c>
      <c r="F93" s="991">
        <v>0.36</v>
      </c>
      <c r="G93" s="991">
        <v>0.66</v>
      </c>
      <c r="H93" s="991">
        <v>0.73</v>
      </c>
      <c r="I93" s="992">
        <v>0.47</v>
      </c>
      <c r="J93" s="990">
        <v>0.33</v>
      </c>
      <c r="K93" s="991">
        <v>0.59</v>
      </c>
      <c r="L93" s="991">
        <v>0.66</v>
      </c>
      <c r="M93" s="992">
        <v>0.47</v>
      </c>
      <c r="N93" s="990">
        <v>0.36</v>
      </c>
      <c r="O93" s="991">
        <v>0.59</v>
      </c>
      <c r="P93" s="991">
        <v>0.62</v>
      </c>
      <c r="Q93" s="992">
        <v>0.42</v>
      </c>
      <c r="R93" s="990">
        <v>0.59</v>
      </c>
      <c r="S93" s="991">
        <v>0.85</v>
      </c>
      <c r="T93" s="991">
        <v>0.71</v>
      </c>
      <c r="U93" s="992">
        <v>0.25</v>
      </c>
    </row>
    <row r="95" spans="1:31" x14ac:dyDescent="0.2">
      <c r="A95" s="1009" t="s">
        <v>2517</v>
      </c>
      <c r="H95">
        <v>20</v>
      </c>
      <c r="I95">
        <v>20</v>
      </c>
      <c r="J95">
        <v>20</v>
      </c>
      <c r="K95">
        <v>20</v>
      </c>
      <c r="L95">
        <v>28</v>
      </c>
      <c r="M95">
        <v>28</v>
      </c>
      <c r="N95">
        <v>28</v>
      </c>
      <c r="O95">
        <v>28</v>
      </c>
      <c r="P95">
        <v>36</v>
      </c>
      <c r="Q95">
        <v>36</v>
      </c>
      <c r="R95">
        <v>36</v>
      </c>
      <c r="S95">
        <v>36</v>
      </c>
      <c r="T95">
        <v>44</v>
      </c>
      <c r="U95">
        <v>44</v>
      </c>
      <c r="V95">
        <v>44</v>
      </c>
      <c r="W95">
        <v>44</v>
      </c>
      <c r="X95">
        <v>52</v>
      </c>
      <c r="Y95">
        <v>52</v>
      </c>
      <c r="Z95">
        <v>52</v>
      </c>
      <c r="AA95">
        <v>52</v>
      </c>
      <c r="AB95">
        <v>60</v>
      </c>
      <c r="AC95">
        <v>60</v>
      </c>
      <c r="AD95">
        <v>60</v>
      </c>
      <c r="AE95">
        <v>60</v>
      </c>
    </row>
    <row r="96" spans="1:31" x14ac:dyDescent="0.2">
      <c r="A96" s="1009"/>
      <c r="H96" s="1006">
        <v>1</v>
      </c>
      <c r="I96" s="988">
        <v>2</v>
      </c>
      <c r="J96" s="988">
        <v>3</v>
      </c>
      <c r="K96" s="989">
        <v>4</v>
      </c>
      <c r="L96" s="1006">
        <v>1</v>
      </c>
      <c r="M96" s="988">
        <v>2</v>
      </c>
      <c r="N96" s="988">
        <v>3</v>
      </c>
      <c r="O96" s="989">
        <v>4</v>
      </c>
      <c r="P96" s="1006">
        <v>1</v>
      </c>
      <c r="Q96" s="988">
        <v>2</v>
      </c>
      <c r="R96" s="988">
        <v>3</v>
      </c>
      <c r="S96" s="989">
        <v>4</v>
      </c>
      <c r="T96" s="1006">
        <v>1</v>
      </c>
      <c r="U96" s="988">
        <v>2</v>
      </c>
      <c r="V96" s="988">
        <v>3</v>
      </c>
      <c r="W96" s="989">
        <v>4</v>
      </c>
      <c r="X96" s="1006">
        <v>1</v>
      </c>
      <c r="Y96" s="988">
        <v>2</v>
      </c>
      <c r="Z96" s="988">
        <v>3</v>
      </c>
      <c r="AA96" s="989">
        <v>4</v>
      </c>
      <c r="AB96" s="1006">
        <v>1</v>
      </c>
      <c r="AC96" s="988">
        <v>2</v>
      </c>
      <c r="AD96" s="988">
        <v>3</v>
      </c>
      <c r="AE96" s="989">
        <v>4</v>
      </c>
    </row>
    <row r="97" spans="1:31" x14ac:dyDescent="0.2">
      <c r="B97">
        <f>I64</f>
        <v>36</v>
      </c>
      <c r="D97">
        <f>J64</f>
        <v>36</v>
      </c>
      <c r="E97">
        <f>K64</f>
        <v>44</v>
      </c>
      <c r="H97" s="1006" t="str">
        <f>H95&amp;H96</f>
        <v>201</v>
      </c>
      <c r="I97" s="1006" t="str">
        <f>I95&amp;I96</f>
        <v>202</v>
      </c>
      <c r="J97" s="1006" t="str">
        <f t="shared" ref="J97:AA97" si="8">J95&amp;J96</f>
        <v>203</v>
      </c>
      <c r="K97" s="1006" t="str">
        <f t="shared" si="8"/>
        <v>204</v>
      </c>
      <c r="L97" s="1006" t="str">
        <f t="shared" si="8"/>
        <v>281</v>
      </c>
      <c r="M97" s="1006" t="str">
        <f t="shared" si="8"/>
        <v>282</v>
      </c>
      <c r="N97" s="1006" t="str">
        <f t="shared" si="8"/>
        <v>283</v>
      </c>
      <c r="O97" s="1006" t="str">
        <f t="shared" si="8"/>
        <v>284</v>
      </c>
      <c r="P97" s="1006" t="str">
        <f t="shared" si="8"/>
        <v>361</v>
      </c>
      <c r="Q97" s="1006" t="str">
        <f t="shared" si="8"/>
        <v>362</v>
      </c>
      <c r="R97" s="1006" t="str">
        <f t="shared" si="8"/>
        <v>363</v>
      </c>
      <c r="S97" s="1006" t="str">
        <f t="shared" si="8"/>
        <v>364</v>
      </c>
      <c r="T97" s="1006" t="str">
        <f t="shared" si="8"/>
        <v>441</v>
      </c>
      <c r="U97" s="1006" t="str">
        <f t="shared" si="8"/>
        <v>442</v>
      </c>
      <c r="V97" s="1006" t="str">
        <f t="shared" si="8"/>
        <v>443</v>
      </c>
      <c r="W97" s="1006" t="str">
        <f t="shared" si="8"/>
        <v>444</v>
      </c>
      <c r="X97" s="1006" t="str">
        <f t="shared" si="8"/>
        <v>521</v>
      </c>
      <c r="Y97" s="1006" t="str">
        <f t="shared" si="8"/>
        <v>522</v>
      </c>
      <c r="Z97" s="1006" t="str">
        <f t="shared" si="8"/>
        <v>523</v>
      </c>
      <c r="AA97" s="1006" t="str">
        <f t="shared" si="8"/>
        <v>524</v>
      </c>
      <c r="AB97" s="1006" t="str">
        <f>AB95&amp;AB96</f>
        <v>601</v>
      </c>
      <c r="AC97" s="1006" t="str">
        <f>AC95&amp;AC96</f>
        <v>602</v>
      </c>
      <c r="AD97" s="1006" t="str">
        <f>AD95&amp;AD96</f>
        <v>603</v>
      </c>
      <c r="AE97" s="1006" t="str">
        <f>AE95&amp;AE96</f>
        <v>604</v>
      </c>
    </row>
    <row r="98" spans="1:31" x14ac:dyDescent="0.2">
      <c r="A98" s="988" t="s">
        <v>830</v>
      </c>
      <c r="B98" s="983" t="str">
        <f>$I$64&amp;VLOOKUP('Form N1'!$P$7,KW!$A$49:$F$52,6)</f>
        <v>362</v>
      </c>
      <c r="C98" s="988">
        <f t="shared" ref="C98:C105" si="9">INDEX($G$97:$AE$105,MATCH(A98,$G$97:$G$105),MATCH(B98,$G$97:$AE$97))</f>
        <v>0</v>
      </c>
      <c r="D98" s="1091">
        <f>C98-((C98-F98)/($K$64-$I$64))*($J$64-$I$64)</f>
        <v>0</v>
      </c>
      <c r="E98" s="983" t="str">
        <f>$K$64&amp;VLOOKUP('Form N1'!$P$7,KW!$A$49:$F$52,6)</f>
        <v>442</v>
      </c>
      <c r="F98" s="988">
        <f t="shared" ref="F98:F105" si="10">INDEX($G$97:$AE$105,MATCH(A98,$G$97:$G$105),MATCH(E98,$G$97:$AE$97))</f>
        <v>0</v>
      </c>
      <c r="G98" s="988" t="s">
        <v>830</v>
      </c>
      <c r="H98">
        <v>1</v>
      </c>
      <c r="I98">
        <v>0</v>
      </c>
      <c r="J98">
        <v>0</v>
      </c>
      <c r="K98">
        <v>0</v>
      </c>
      <c r="L98" s="1006">
        <v>1</v>
      </c>
      <c r="M98" s="1006">
        <v>0</v>
      </c>
      <c r="N98" s="1006">
        <v>0</v>
      </c>
      <c r="O98" s="1006">
        <v>0</v>
      </c>
      <c r="P98" s="1006">
        <v>1</v>
      </c>
      <c r="Q98" s="1006">
        <v>0</v>
      </c>
      <c r="R98" s="1006">
        <v>0</v>
      </c>
      <c r="S98" s="1006">
        <v>0</v>
      </c>
      <c r="T98" s="1006">
        <v>0.9</v>
      </c>
      <c r="U98" s="1006">
        <v>0</v>
      </c>
      <c r="V98" s="1006">
        <v>0</v>
      </c>
      <c r="W98" s="1006">
        <v>0</v>
      </c>
      <c r="X98" s="1006">
        <v>0.8</v>
      </c>
      <c r="Y98" s="1006">
        <v>0</v>
      </c>
      <c r="Z98" s="1006">
        <v>0</v>
      </c>
      <c r="AA98" s="1006">
        <v>0</v>
      </c>
      <c r="AB98" s="1006">
        <v>0.7</v>
      </c>
      <c r="AC98" s="1006">
        <v>0</v>
      </c>
      <c r="AD98" s="1006">
        <v>0</v>
      </c>
      <c r="AE98" s="1006">
        <v>0</v>
      </c>
    </row>
    <row r="99" spans="1:31" x14ac:dyDescent="0.2">
      <c r="A99" s="988" t="s">
        <v>815</v>
      </c>
      <c r="B99" s="983" t="str">
        <f>$I$64&amp;VLOOKUP('Form N1'!$P$7,KW!$A$49:$F$52,6)</f>
        <v>362</v>
      </c>
      <c r="C99" s="988">
        <f t="shared" si="9"/>
        <v>0</v>
      </c>
      <c r="D99" s="1091">
        <f t="shared" ref="D99:D105" si="11">C99-((C99-F99)/($K$64-$I$64))*($J$64-$I$64)</f>
        <v>0</v>
      </c>
      <c r="E99" s="983" t="str">
        <f>$K$64&amp;VLOOKUP('Form N1'!$P$7,KW!$A$49:$F$52,6)</f>
        <v>442</v>
      </c>
      <c r="F99" s="988">
        <f t="shared" si="10"/>
        <v>0</v>
      </c>
      <c r="G99" s="988" t="s">
        <v>815</v>
      </c>
      <c r="H99">
        <v>1.6</v>
      </c>
      <c r="I99">
        <v>0</v>
      </c>
      <c r="J99">
        <v>0</v>
      </c>
      <c r="K99">
        <v>0</v>
      </c>
      <c r="L99" s="1006">
        <v>2.8</v>
      </c>
      <c r="M99" s="1006">
        <v>0</v>
      </c>
      <c r="N99" s="1006">
        <v>0</v>
      </c>
      <c r="O99" s="1006">
        <v>0</v>
      </c>
      <c r="P99" s="1006">
        <v>2.2000000000000002</v>
      </c>
      <c r="Q99" s="1006">
        <v>0</v>
      </c>
      <c r="R99" s="1006">
        <v>0</v>
      </c>
      <c r="S99" s="1006">
        <v>0</v>
      </c>
      <c r="T99" s="1006">
        <v>2.5</v>
      </c>
      <c r="U99" s="1006">
        <v>0</v>
      </c>
      <c r="V99" s="1006">
        <v>0</v>
      </c>
      <c r="W99" s="1006">
        <v>0</v>
      </c>
      <c r="X99" s="1006">
        <v>3.1</v>
      </c>
      <c r="Y99" s="1006">
        <v>0</v>
      </c>
      <c r="Z99" s="1006">
        <v>0</v>
      </c>
      <c r="AA99" s="1006">
        <v>0</v>
      </c>
      <c r="AB99" s="1006">
        <v>3.9</v>
      </c>
      <c r="AC99" s="1006">
        <v>0</v>
      </c>
      <c r="AD99" s="1006">
        <v>0</v>
      </c>
      <c r="AE99" s="1006">
        <v>0</v>
      </c>
    </row>
    <row r="100" spans="1:31" x14ac:dyDescent="0.2">
      <c r="A100" s="988" t="s">
        <v>2758</v>
      </c>
      <c r="B100" s="983" t="str">
        <f>$I$64&amp;VLOOKUP('Form N1'!$P$7,KW!$A$49:$F$52,6)</f>
        <v>362</v>
      </c>
      <c r="C100" s="988">
        <f t="shared" si="9"/>
        <v>0</v>
      </c>
      <c r="D100" s="1091">
        <f t="shared" si="11"/>
        <v>0</v>
      </c>
      <c r="E100" s="983" t="str">
        <f>$K$64&amp;VLOOKUP('Form N1'!$P$7,KW!$A$49:$F$52,6)</f>
        <v>442</v>
      </c>
      <c r="F100" s="988">
        <f t="shared" si="10"/>
        <v>0</v>
      </c>
      <c r="G100" s="988" t="s">
        <v>2758</v>
      </c>
      <c r="H100">
        <v>0</v>
      </c>
      <c r="I100">
        <v>0</v>
      </c>
      <c r="J100">
        <v>0</v>
      </c>
      <c r="K100">
        <v>0</v>
      </c>
      <c r="L100" s="1006">
        <v>0</v>
      </c>
      <c r="M100" s="1006">
        <v>0</v>
      </c>
      <c r="N100" s="1006">
        <v>0</v>
      </c>
      <c r="O100" s="1006">
        <v>0</v>
      </c>
      <c r="P100" s="1006">
        <v>0</v>
      </c>
      <c r="Q100" s="1006">
        <v>0</v>
      </c>
      <c r="R100" s="1006">
        <v>0</v>
      </c>
      <c r="S100" s="1006">
        <v>0</v>
      </c>
      <c r="T100" s="1006">
        <v>0</v>
      </c>
      <c r="U100" s="1006">
        <v>0</v>
      </c>
      <c r="V100" s="1006">
        <v>0</v>
      </c>
      <c r="W100" s="1006">
        <v>0</v>
      </c>
      <c r="X100" s="1006">
        <v>0</v>
      </c>
      <c r="Y100" s="1006">
        <v>0</v>
      </c>
      <c r="Z100" s="1006">
        <v>0</v>
      </c>
      <c r="AA100" s="1006">
        <v>0</v>
      </c>
      <c r="AB100" s="1006">
        <v>0</v>
      </c>
      <c r="AC100" s="1006">
        <v>0</v>
      </c>
      <c r="AD100" s="1006">
        <v>0</v>
      </c>
      <c r="AE100" s="1006">
        <v>0</v>
      </c>
    </row>
    <row r="101" spans="1:31" x14ac:dyDescent="0.2">
      <c r="A101" s="988" t="s">
        <v>818</v>
      </c>
      <c r="B101" s="983" t="str">
        <f>$I$64&amp;VLOOKUP('Form N1'!$P$7,KW!$A$49:$F$52,6)</f>
        <v>362</v>
      </c>
      <c r="C101" s="988">
        <f t="shared" si="9"/>
        <v>0</v>
      </c>
      <c r="D101" s="1091">
        <f t="shared" si="11"/>
        <v>0</v>
      </c>
      <c r="E101" s="983" t="str">
        <f>$K$64&amp;VLOOKUP('Form N1'!$P$7,KW!$A$49:$F$52,6)</f>
        <v>442</v>
      </c>
      <c r="F101" s="988">
        <f t="shared" si="10"/>
        <v>0</v>
      </c>
      <c r="G101" s="988" t="s">
        <v>818</v>
      </c>
      <c r="H101">
        <v>0</v>
      </c>
      <c r="I101">
        <v>0</v>
      </c>
      <c r="J101">
        <v>1.6</v>
      </c>
      <c r="K101">
        <v>0.1</v>
      </c>
      <c r="L101" s="1006">
        <v>0</v>
      </c>
      <c r="M101" s="1006">
        <v>0</v>
      </c>
      <c r="N101" s="1006">
        <v>1.8</v>
      </c>
      <c r="O101" s="1006">
        <v>0.1</v>
      </c>
      <c r="P101" s="1006">
        <v>0</v>
      </c>
      <c r="Q101" s="1006">
        <v>0</v>
      </c>
      <c r="R101" s="1006">
        <v>2.2000000000000002</v>
      </c>
      <c r="S101" s="1006">
        <v>0</v>
      </c>
      <c r="T101" s="1006">
        <v>0</v>
      </c>
      <c r="U101" s="1006">
        <v>0</v>
      </c>
      <c r="V101" s="1006">
        <v>2.5</v>
      </c>
      <c r="W101" s="1006">
        <v>0.2</v>
      </c>
      <c r="X101" s="1006">
        <v>0</v>
      </c>
      <c r="Y101" s="1006">
        <v>0</v>
      </c>
      <c r="Z101" s="1006">
        <v>3.1</v>
      </c>
      <c r="AA101" s="1006">
        <v>0.2</v>
      </c>
      <c r="AB101" s="1006">
        <v>0</v>
      </c>
      <c r="AC101" s="1006">
        <v>0</v>
      </c>
      <c r="AD101" s="1006">
        <v>3.9</v>
      </c>
      <c r="AE101" s="1006">
        <v>0.2</v>
      </c>
    </row>
    <row r="102" spans="1:31" x14ac:dyDescent="0.2">
      <c r="A102" s="988" t="s">
        <v>816</v>
      </c>
      <c r="B102" s="983" t="str">
        <f>$I$64&amp;VLOOKUP('Form N1'!$P$7,KW!$A$49:$F$52,6)</f>
        <v>362</v>
      </c>
      <c r="C102" s="988">
        <f t="shared" si="9"/>
        <v>3.1</v>
      </c>
      <c r="D102" s="1091">
        <f t="shared" si="11"/>
        <v>3.1</v>
      </c>
      <c r="E102" s="983" t="str">
        <f>$K$64&amp;VLOOKUP('Form N1'!$P$7,KW!$A$49:$F$52,6)</f>
        <v>442</v>
      </c>
      <c r="F102" s="988">
        <f t="shared" si="10"/>
        <v>2.2000000000000002</v>
      </c>
      <c r="G102" s="988" t="s">
        <v>816</v>
      </c>
      <c r="H102">
        <v>1.4</v>
      </c>
      <c r="I102">
        <v>12.7</v>
      </c>
      <c r="J102">
        <v>0</v>
      </c>
      <c r="K102">
        <v>0</v>
      </c>
      <c r="L102" s="1006">
        <v>1.2</v>
      </c>
      <c r="M102" s="1006">
        <v>5</v>
      </c>
      <c r="N102" s="1006">
        <v>0</v>
      </c>
      <c r="O102" s="1006">
        <v>0</v>
      </c>
      <c r="P102" s="1006">
        <v>1</v>
      </c>
      <c r="Q102" s="1006">
        <v>3.1</v>
      </c>
      <c r="R102" s="1006">
        <v>0</v>
      </c>
      <c r="S102" s="1006">
        <v>0</v>
      </c>
      <c r="T102" s="1006">
        <v>0.8</v>
      </c>
      <c r="U102" s="1006">
        <v>2.2000000000000002</v>
      </c>
      <c r="V102" s="1006">
        <v>0</v>
      </c>
      <c r="W102" s="1006">
        <v>0</v>
      </c>
      <c r="X102" s="1006">
        <v>0.7</v>
      </c>
      <c r="Y102" s="1006">
        <v>1.6</v>
      </c>
      <c r="Z102" s="1006">
        <v>0</v>
      </c>
      <c r="AA102" s="1006">
        <v>0</v>
      </c>
      <c r="AB102" s="1006">
        <v>0.6</v>
      </c>
      <c r="AC102" s="1006">
        <v>1.2</v>
      </c>
      <c r="AD102" s="1006">
        <v>0</v>
      </c>
      <c r="AE102" s="1006">
        <v>0</v>
      </c>
    </row>
    <row r="103" spans="1:31" x14ac:dyDescent="0.2">
      <c r="A103" s="988" t="s">
        <v>1531</v>
      </c>
      <c r="B103" s="983" t="str">
        <f>$I$64&amp;VLOOKUP('Form N1'!$P$7,KW!$A$49:$F$52,6)</f>
        <v>362</v>
      </c>
      <c r="C103" s="988">
        <f t="shared" si="9"/>
        <v>2.2999999999999998</v>
      </c>
      <c r="D103" s="1091">
        <f t="shared" si="11"/>
        <v>2.2999999999999998</v>
      </c>
      <c r="E103" s="983" t="str">
        <f>$K$64&amp;VLOOKUP('Form N1'!$P$7,KW!$A$49:$F$52,6)</f>
        <v>442</v>
      </c>
      <c r="F103" s="988">
        <f t="shared" si="10"/>
        <v>1.6</v>
      </c>
      <c r="G103" s="988" t="s">
        <v>1531</v>
      </c>
      <c r="H103">
        <v>3.5</v>
      </c>
      <c r="I103">
        <v>9.5</v>
      </c>
      <c r="J103">
        <v>3.5</v>
      </c>
      <c r="K103">
        <v>0</v>
      </c>
      <c r="L103" s="1006">
        <v>5.3</v>
      </c>
      <c r="M103" s="1006">
        <v>3.7</v>
      </c>
      <c r="N103" s="1006">
        <v>5.3</v>
      </c>
      <c r="O103" s="1006">
        <v>0</v>
      </c>
      <c r="P103" s="1006">
        <v>2.8</v>
      </c>
      <c r="Q103" s="1006">
        <v>2.2999999999999998</v>
      </c>
      <c r="R103" s="1006">
        <v>2.8</v>
      </c>
      <c r="S103" s="1006">
        <v>0.2</v>
      </c>
      <c r="T103" s="1006">
        <v>1.9</v>
      </c>
      <c r="U103" s="1006">
        <v>1.6</v>
      </c>
      <c r="V103" s="1006">
        <v>1.9</v>
      </c>
      <c r="W103" s="1006">
        <v>0</v>
      </c>
      <c r="X103" s="1006">
        <v>1.4</v>
      </c>
      <c r="Y103" s="1006">
        <v>1.2</v>
      </c>
      <c r="Z103" s="1006">
        <v>1.4</v>
      </c>
      <c r="AA103" s="1006">
        <v>0</v>
      </c>
      <c r="AB103" s="1006">
        <v>1</v>
      </c>
      <c r="AC103" s="1006">
        <v>0.9</v>
      </c>
      <c r="AD103" s="1006">
        <v>1</v>
      </c>
      <c r="AE103" s="1006">
        <v>0</v>
      </c>
    </row>
    <row r="104" spans="1:31" x14ac:dyDescent="0.2">
      <c r="A104" s="988" t="s">
        <v>817</v>
      </c>
      <c r="B104" s="983" t="str">
        <f>$I$64&amp;VLOOKUP('Form N1'!$P$7,KW!$A$49:$F$52,6)</f>
        <v>362</v>
      </c>
      <c r="C104" s="988">
        <f t="shared" si="9"/>
        <v>3.1</v>
      </c>
      <c r="D104" s="1091">
        <f t="shared" si="11"/>
        <v>3.1</v>
      </c>
      <c r="E104" s="983" t="str">
        <f>$K$64&amp;VLOOKUP('Form N1'!$P$7,KW!$A$49:$F$52,6)</f>
        <v>442</v>
      </c>
      <c r="F104" s="988">
        <f t="shared" si="10"/>
        <v>2.5</v>
      </c>
      <c r="G104" s="988" t="s">
        <v>817</v>
      </c>
      <c r="H104">
        <v>0</v>
      </c>
      <c r="I104">
        <v>12.7</v>
      </c>
      <c r="J104">
        <v>1.4</v>
      </c>
      <c r="K104">
        <v>0.1</v>
      </c>
      <c r="L104" s="1006">
        <v>0</v>
      </c>
      <c r="M104" s="1006">
        <v>5</v>
      </c>
      <c r="N104" s="1006">
        <v>1.2</v>
      </c>
      <c r="O104" s="1006">
        <v>0.1</v>
      </c>
      <c r="P104" s="1006">
        <v>0</v>
      </c>
      <c r="Q104" s="1006">
        <v>3.1</v>
      </c>
      <c r="R104" s="1006">
        <v>1</v>
      </c>
      <c r="S104" s="1006">
        <v>0.1</v>
      </c>
      <c r="T104" s="1006">
        <v>0</v>
      </c>
      <c r="U104" s="1006">
        <v>2.5</v>
      </c>
      <c r="V104" s="1006">
        <v>0.8</v>
      </c>
      <c r="W104" s="1006">
        <v>0.2</v>
      </c>
      <c r="X104" s="1006">
        <v>0</v>
      </c>
      <c r="Y104" s="1006">
        <v>1.6</v>
      </c>
      <c r="Z104" s="1006">
        <v>0.7</v>
      </c>
      <c r="AA104" s="1006">
        <v>0.2</v>
      </c>
      <c r="AB104" s="1006">
        <v>0</v>
      </c>
      <c r="AC104" s="1006">
        <v>1.2</v>
      </c>
      <c r="AD104" s="1006">
        <v>0.6</v>
      </c>
      <c r="AE104" s="1006">
        <v>0.3</v>
      </c>
    </row>
    <row r="105" spans="1:31" x14ac:dyDescent="0.2">
      <c r="A105" s="988" t="s">
        <v>2759</v>
      </c>
      <c r="B105" s="983" t="str">
        <f>$I$64&amp;VLOOKUP('Form N1'!$P$7,KW!$A$49:$F$52,6)</f>
        <v>362</v>
      </c>
      <c r="C105" s="988">
        <f t="shared" si="9"/>
        <v>0</v>
      </c>
      <c r="D105" s="1091">
        <f t="shared" si="11"/>
        <v>0</v>
      </c>
      <c r="E105" s="983" t="str">
        <f>$K$64&amp;VLOOKUP('Form N1'!$P$7,KW!$A$49:$F$52,6)</f>
        <v>442</v>
      </c>
      <c r="F105" s="988">
        <f t="shared" si="10"/>
        <v>0</v>
      </c>
      <c r="G105" s="988" t="s">
        <v>2759</v>
      </c>
      <c r="H105">
        <v>0</v>
      </c>
      <c r="I105">
        <v>0</v>
      </c>
      <c r="J105">
        <v>1</v>
      </c>
      <c r="K105">
        <v>0.1</v>
      </c>
      <c r="L105" s="1006">
        <v>0</v>
      </c>
      <c r="M105" s="1006">
        <v>0</v>
      </c>
      <c r="N105" s="1006">
        <v>1</v>
      </c>
      <c r="O105" s="1006">
        <v>0.1</v>
      </c>
      <c r="P105" s="1006">
        <v>0</v>
      </c>
      <c r="Q105" s="1006">
        <v>0</v>
      </c>
      <c r="R105" s="1006">
        <v>1</v>
      </c>
      <c r="S105" s="1006">
        <v>0.1</v>
      </c>
      <c r="T105" s="1006">
        <v>0</v>
      </c>
      <c r="U105" s="1006">
        <v>0</v>
      </c>
      <c r="V105" s="1006">
        <v>0.9</v>
      </c>
      <c r="W105" s="1006">
        <v>0.1</v>
      </c>
      <c r="X105" s="1006">
        <v>0</v>
      </c>
      <c r="Y105" s="1006">
        <v>0</v>
      </c>
      <c r="Z105" s="1006">
        <v>0.8</v>
      </c>
      <c r="AA105" s="1006">
        <v>0.2</v>
      </c>
      <c r="AB105" s="1006">
        <v>0</v>
      </c>
      <c r="AC105" s="1006">
        <v>0</v>
      </c>
      <c r="AD105" s="1006">
        <v>0.7</v>
      </c>
      <c r="AE105" s="1006">
        <v>0.2</v>
      </c>
    </row>
    <row r="107" spans="1:31" ht="13.5" thickBot="1" x14ac:dyDescent="0.25"/>
    <row r="108" spans="1:31" x14ac:dyDescent="0.2">
      <c r="A108" s="1316" t="s">
        <v>823</v>
      </c>
      <c r="B108" s="1317"/>
      <c r="L108" t="s">
        <v>3748</v>
      </c>
      <c r="M108">
        <v>1</v>
      </c>
    </row>
    <row r="109" spans="1:31" x14ac:dyDescent="0.2">
      <c r="A109" s="1007">
        <f>'Form N1'!P7</f>
        <v>0.5</v>
      </c>
      <c r="B109" s="999">
        <f>VLOOKUP('Form N1'!P7,KW!A49:D52,4)</f>
        <v>3</v>
      </c>
      <c r="D109" t="s">
        <v>3748</v>
      </c>
      <c r="F109">
        <v>1</v>
      </c>
      <c r="H109" t="s">
        <v>3748</v>
      </c>
      <c r="J109">
        <v>0.23</v>
      </c>
      <c r="L109" t="s">
        <v>3764</v>
      </c>
      <c r="M109">
        <v>0.8</v>
      </c>
    </row>
    <row r="110" spans="1:31" x14ac:dyDescent="0.2">
      <c r="A110" s="998" t="s">
        <v>2758</v>
      </c>
      <c r="B110" s="999">
        <f t="shared" ref="B110:B118" si="12">VLOOKUP(A110,$A$85:$E$93,$B$109,FALSE)</f>
        <v>0.7</v>
      </c>
      <c r="D110" t="s">
        <v>435</v>
      </c>
      <c r="F110">
        <v>0.9</v>
      </c>
      <c r="H110" t="s">
        <v>3749</v>
      </c>
      <c r="J110">
        <v>0.33</v>
      </c>
    </row>
    <row r="111" spans="1:31" x14ac:dyDescent="0.2">
      <c r="A111" s="998" t="s">
        <v>815</v>
      </c>
      <c r="B111" s="999">
        <f t="shared" si="12"/>
        <v>0.33</v>
      </c>
      <c r="D111" t="s">
        <v>436</v>
      </c>
      <c r="F111">
        <v>1.1499999999999999</v>
      </c>
      <c r="H111" t="s">
        <v>3750</v>
      </c>
      <c r="J111">
        <v>0.51</v>
      </c>
    </row>
    <row r="112" spans="1:31" x14ac:dyDescent="0.2">
      <c r="A112" s="998" t="s">
        <v>830</v>
      </c>
      <c r="B112" s="999">
        <f t="shared" si="12"/>
        <v>0.39</v>
      </c>
      <c r="D112" t="s">
        <v>437</v>
      </c>
      <c r="F112">
        <v>2</v>
      </c>
      <c r="H112" t="s">
        <v>3751</v>
      </c>
      <c r="J112">
        <v>0.59</v>
      </c>
    </row>
    <row r="113" spans="1:10" x14ac:dyDescent="0.2">
      <c r="A113" s="998" t="s">
        <v>816</v>
      </c>
      <c r="B113" s="999">
        <f t="shared" si="12"/>
        <v>0.55100000000000005</v>
      </c>
      <c r="H113" t="s">
        <v>3751</v>
      </c>
      <c r="J113">
        <v>0.06</v>
      </c>
    </row>
    <row r="114" spans="1:10" x14ac:dyDescent="0.2">
      <c r="A114" s="998" t="s">
        <v>1531</v>
      </c>
      <c r="B114" s="999">
        <f t="shared" si="12"/>
        <v>0.52</v>
      </c>
      <c r="H114" t="s">
        <v>3752</v>
      </c>
      <c r="J114">
        <v>0.23</v>
      </c>
    </row>
    <row r="115" spans="1:10" x14ac:dyDescent="0.2">
      <c r="A115" s="998" t="s">
        <v>817</v>
      </c>
      <c r="B115" s="999">
        <f t="shared" si="12"/>
        <v>0.23</v>
      </c>
      <c r="H115" t="s">
        <v>3753</v>
      </c>
      <c r="J115">
        <v>0.42</v>
      </c>
    </row>
    <row r="116" spans="1:10" x14ac:dyDescent="0.2">
      <c r="A116" s="998" t="s">
        <v>2759</v>
      </c>
      <c r="B116" s="999">
        <f t="shared" si="12"/>
        <v>0.14000000000000001</v>
      </c>
      <c r="H116" t="s">
        <v>3754</v>
      </c>
      <c r="J116">
        <v>0.5</v>
      </c>
    </row>
    <row r="117" spans="1:10" x14ac:dyDescent="0.2">
      <c r="A117" s="998" t="s">
        <v>818</v>
      </c>
      <c r="B117" s="999">
        <f t="shared" si="12"/>
        <v>0.17</v>
      </c>
      <c r="H117" t="s">
        <v>3754</v>
      </c>
      <c r="J117">
        <v>0.04</v>
      </c>
    </row>
    <row r="118" spans="1:10" ht="13.5" thickBot="1" x14ac:dyDescent="0.25">
      <c r="A118" s="990" t="s">
        <v>2972</v>
      </c>
      <c r="B118" s="1003">
        <f t="shared" si="12"/>
        <v>0.59</v>
      </c>
      <c r="H118" t="s">
        <v>3755</v>
      </c>
      <c r="J118">
        <v>0.21</v>
      </c>
    </row>
    <row r="119" spans="1:10" x14ac:dyDescent="0.2">
      <c r="H119" t="s">
        <v>3756</v>
      </c>
      <c r="J119">
        <v>0.31</v>
      </c>
    </row>
    <row r="120" spans="1:10" x14ac:dyDescent="0.2">
      <c r="A120" s="1009" t="s">
        <v>890</v>
      </c>
      <c r="H120" t="s">
        <v>3757</v>
      </c>
      <c r="J120">
        <v>0.38</v>
      </c>
    </row>
    <row r="121" spans="1:10" x14ac:dyDescent="0.2">
      <c r="A121" s="1008">
        <f>('Form N1'!J4-'Form N1'!M4)</f>
        <v>31</v>
      </c>
      <c r="B121" s="1008" t="str">
        <f>'Form N1'!P6</f>
        <v>H</v>
      </c>
      <c r="C121" s="1008">
        <f>VLOOKUP(A121,A124:B149,2,TRUE)</f>
        <v>30</v>
      </c>
      <c r="D121" s="1008" t="str">
        <f>C121&amp;B121</f>
        <v>30H</v>
      </c>
      <c r="H121" t="s">
        <v>3757</v>
      </c>
      <c r="J121">
        <v>0.04</v>
      </c>
    </row>
    <row r="122" spans="1:10" x14ac:dyDescent="0.2">
      <c r="A122" s="1313" t="s">
        <v>2218</v>
      </c>
      <c r="B122" s="1315"/>
      <c r="C122" s="1313">
        <f>VLOOKUP(D121,C124:D135,2)</f>
        <v>36</v>
      </c>
      <c r="D122" s="1315"/>
      <c r="E122" s="75"/>
      <c r="H122" t="s">
        <v>3758</v>
      </c>
      <c r="J122">
        <v>0.2</v>
      </c>
    </row>
    <row r="123" spans="1:10" x14ac:dyDescent="0.2">
      <c r="C123" t="s">
        <v>3476</v>
      </c>
      <c r="D123" t="s">
        <v>3500</v>
      </c>
      <c r="E123" t="s">
        <v>877</v>
      </c>
      <c r="H123" t="s">
        <v>3759</v>
      </c>
      <c r="J123">
        <v>0.18</v>
      </c>
    </row>
    <row r="124" spans="1:10" x14ac:dyDescent="0.2">
      <c r="A124">
        <v>-10</v>
      </c>
      <c r="B124">
        <v>10</v>
      </c>
      <c r="C124" t="s">
        <v>879</v>
      </c>
      <c r="D124">
        <v>25</v>
      </c>
      <c r="E124">
        <v>9</v>
      </c>
      <c r="H124" t="s">
        <v>3760</v>
      </c>
      <c r="J124">
        <v>0.3</v>
      </c>
    </row>
    <row r="125" spans="1:10" x14ac:dyDescent="0.2">
      <c r="A125">
        <v>11</v>
      </c>
      <c r="B125">
        <v>10</v>
      </c>
      <c r="C125" t="s">
        <v>878</v>
      </c>
      <c r="D125">
        <v>21</v>
      </c>
      <c r="E125">
        <v>5</v>
      </c>
      <c r="H125" t="s">
        <v>3760</v>
      </c>
      <c r="J125">
        <v>0.04</v>
      </c>
    </row>
    <row r="126" spans="1:10" x14ac:dyDescent="0.2">
      <c r="A126">
        <v>12</v>
      </c>
      <c r="B126">
        <v>10</v>
      </c>
      <c r="C126" t="s">
        <v>880</v>
      </c>
      <c r="D126">
        <v>30</v>
      </c>
      <c r="E126">
        <v>14</v>
      </c>
      <c r="H126" t="s">
        <v>3761</v>
      </c>
      <c r="J126">
        <v>0.2</v>
      </c>
    </row>
    <row r="127" spans="1:10" x14ac:dyDescent="0.2">
      <c r="A127">
        <v>13</v>
      </c>
      <c r="B127">
        <v>15</v>
      </c>
      <c r="C127" t="s">
        <v>881</v>
      </c>
      <c r="D127">
        <v>26</v>
      </c>
      <c r="E127">
        <v>10</v>
      </c>
      <c r="H127" t="s">
        <v>3762</v>
      </c>
      <c r="J127">
        <v>0.18</v>
      </c>
    </row>
    <row r="128" spans="1:10" x14ac:dyDescent="0.2">
      <c r="A128">
        <v>14</v>
      </c>
      <c r="B128">
        <v>15</v>
      </c>
      <c r="C128" t="s">
        <v>882</v>
      </c>
      <c r="D128">
        <v>21</v>
      </c>
      <c r="E128">
        <v>5</v>
      </c>
      <c r="H128" t="s">
        <v>3763</v>
      </c>
      <c r="J128">
        <v>0.3</v>
      </c>
    </row>
    <row r="129" spans="1:8" x14ac:dyDescent="0.2">
      <c r="A129">
        <v>15</v>
      </c>
      <c r="B129">
        <v>15</v>
      </c>
      <c r="C129" t="s">
        <v>883</v>
      </c>
      <c r="D129">
        <v>35</v>
      </c>
      <c r="E129">
        <v>19</v>
      </c>
      <c r="H129" t="s">
        <v>3763</v>
      </c>
    </row>
    <row r="130" spans="1:8" x14ac:dyDescent="0.2">
      <c r="A130">
        <v>16</v>
      </c>
      <c r="B130">
        <v>15</v>
      </c>
      <c r="C130" t="s">
        <v>884</v>
      </c>
      <c r="D130">
        <v>31</v>
      </c>
      <c r="E130">
        <v>15</v>
      </c>
    </row>
    <row r="131" spans="1:8" x14ac:dyDescent="0.2">
      <c r="A131">
        <v>17</v>
      </c>
      <c r="B131">
        <v>15</v>
      </c>
      <c r="C131" t="s">
        <v>885</v>
      </c>
      <c r="D131">
        <v>26</v>
      </c>
      <c r="E131">
        <v>10</v>
      </c>
    </row>
    <row r="132" spans="1:8" x14ac:dyDescent="0.2">
      <c r="A132">
        <v>18</v>
      </c>
      <c r="B132">
        <v>20</v>
      </c>
      <c r="C132" t="s">
        <v>886</v>
      </c>
      <c r="D132">
        <v>36</v>
      </c>
      <c r="E132">
        <v>20</v>
      </c>
    </row>
    <row r="133" spans="1:8" x14ac:dyDescent="0.2">
      <c r="A133">
        <v>19</v>
      </c>
      <c r="B133">
        <v>20</v>
      </c>
      <c r="C133" t="s">
        <v>887</v>
      </c>
      <c r="D133">
        <v>31</v>
      </c>
      <c r="E133">
        <v>15</v>
      </c>
    </row>
    <row r="134" spans="1:8" x14ac:dyDescent="0.2">
      <c r="A134">
        <v>20</v>
      </c>
      <c r="B134">
        <v>20</v>
      </c>
      <c r="C134" t="s">
        <v>888</v>
      </c>
      <c r="D134">
        <v>36</v>
      </c>
      <c r="E134">
        <v>20</v>
      </c>
    </row>
    <row r="135" spans="1:8" x14ac:dyDescent="0.2">
      <c r="A135">
        <v>21</v>
      </c>
      <c r="B135">
        <v>20</v>
      </c>
      <c r="C135" t="s">
        <v>889</v>
      </c>
      <c r="D135">
        <v>41</v>
      </c>
      <c r="E135">
        <v>25</v>
      </c>
    </row>
    <row r="136" spans="1:8" x14ac:dyDescent="0.2">
      <c r="A136">
        <v>22</v>
      </c>
      <c r="B136">
        <v>20</v>
      </c>
    </row>
    <row r="137" spans="1:8" x14ac:dyDescent="0.2">
      <c r="A137">
        <v>23</v>
      </c>
      <c r="B137">
        <v>25</v>
      </c>
    </row>
    <row r="138" spans="1:8" x14ac:dyDescent="0.2">
      <c r="A138">
        <v>24</v>
      </c>
      <c r="B138">
        <v>25</v>
      </c>
    </row>
    <row r="139" spans="1:8" x14ac:dyDescent="0.2">
      <c r="A139">
        <v>25</v>
      </c>
      <c r="B139">
        <v>25</v>
      </c>
    </row>
    <row r="140" spans="1:8" x14ac:dyDescent="0.2">
      <c r="A140">
        <v>26</v>
      </c>
      <c r="B140">
        <v>25</v>
      </c>
    </row>
    <row r="141" spans="1:8" x14ac:dyDescent="0.2">
      <c r="A141">
        <v>27</v>
      </c>
      <c r="B141">
        <v>25</v>
      </c>
    </row>
    <row r="142" spans="1:8" x14ac:dyDescent="0.2">
      <c r="A142">
        <v>28</v>
      </c>
      <c r="B142">
        <v>30</v>
      </c>
    </row>
    <row r="143" spans="1:8" x14ac:dyDescent="0.2">
      <c r="A143">
        <v>29</v>
      </c>
      <c r="B143">
        <v>30</v>
      </c>
    </row>
    <row r="144" spans="1:8" x14ac:dyDescent="0.2">
      <c r="A144">
        <v>30</v>
      </c>
      <c r="B144">
        <v>30</v>
      </c>
    </row>
    <row r="145" spans="1:45" x14ac:dyDescent="0.2">
      <c r="A145">
        <v>31</v>
      </c>
      <c r="B145">
        <v>30</v>
      </c>
    </row>
    <row r="146" spans="1:45" x14ac:dyDescent="0.2">
      <c r="A146">
        <v>32</v>
      </c>
      <c r="B146">
        <v>30</v>
      </c>
    </row>
    <row r="147" spans="1:45" x14ac:dyDescent="0.2">
      <c r="A147">
        <v>33</v>
      </c>
      <c r="B147">
        <v>35</v>
      </c>
    </row>
    <row r="148" spans="1:45" x14ac:dyDescent="0.2">
      <c r="A148">
        <v>34</v>
      </c>
      <c r="B148">
        <v>35</v>
      </c>
    </row>
    <row r="149" spans="1:45" x14ac:dyDescent="0.2">
      <c r="A149">
        <v>35</v>
      </c>
      <c r="B149">
        <v>35</v>
      </c>
    </row>
    <row r="151" spans="1:45" x14ac:dyDescent="0.2">
      <c r="A151" s="1009" t="s">
        <v>2653</v>
      </c>
    </row>
    <row r="152" spans="1:45" x14ac:dyDescent="0.2">
      <c r="A152" s="1010" t="s">
        <v>822</v>
      </c>
      <c r="B152" s="979">
        <f>VLOOKUP('Form N1'!P7,KW!A49:E52,5)</f>
        <v>12</v>
      </c>
    </row>
    <row r="153" spans="1:45" x14ac:dyDescent="0.2">
      <c r="B153" t="s">
        <v>892</v>
      </c>
      <c r="C153" t="s">
        <v>893</v>
      </c>
      <c r="D153" t="s">
        <v>894</v>
      </c>
      <c r="E153" t="s">
        <v>891</v>
      </c>
      <c r="F153" t="s">
        <v>896</v>
      </c>
      <c r="G153" t="s">
        <v>897</v>
      </c>
      <c r="H153" t="s">
        <v>898</v>
      </c>
      <c r="I153" s="1310" t="s">
        <v>895</v>
      </c>
      <c r="J153" t="s">
        <v>2345</v>
      </c>
      <c r="K153" t="s">
        <v>2346</v>
      </c>
      <c r="L153" t="s">
        <v>2347</v>
      </c>
      <c r="M153" t="s">
        <v>2344</v>
      </c>
      <c r="N153" t="s">
        <v>2349</v>
      </c>
      <c r="O153" t="s">
        <v>2350</v>
      </c>
      <c r="P153" t="s">
        <v>2351</v>
      </c>
      <c r="Q153" t="s">
        <v>2348</v>
      </c>
      <c r="R153" t="s">
        <v>2353</v>
      </c>
      <c r="S153" t="s">
        <v>2354</v>
      </c>
      <c r="T153" t="s">
        <v>2355</v>
      </c>
      <c r="U153" t="s">
        <v>2352</v>
      </c>
      <c r="V153" t="s">
        <v>2357</v>
      </c>
      <c r="W153" t="s">
        <v>2358</v>
      </c>
      <c r="X153" t="s">
        <v>2359</v>
      </c>
      <c r="Y153" t="s">
        <v>2356</v>
      </c>
      <c r="Z153" t="s">
        <v>2361</v>
      </c>
      <c r="AA153" t="s">
        <v>2362</v>
      </c>
      <c r="AB153" t="s">
        <v>2363</v>
      </c>
      <c r="AC153" t="s">
        <v>2360</v>
      </c>
      <c r="AD153" t="s">
        <v>2554</v>
      </c>
      <c r="AE153" t="s">
        <v>2555</v>
      </c>
      <c r="AF153" t="s">
        <v>2556</v>
      </c>
      <c r="AG153" t="s">
        <v>2553</v>
      </c>
      <c r="AH153" t="s">
        <v>718</v>
      </c>
      <c r="AI153" t="s">
        <v>719</v>
      </c>
      <c r="AJ153" t="s">
        <v>720</v>
      </c>
      <c r="AK153" t="s">
        <v>717</v>
      </c>
      <c r="AL153" t="s">
        <v>722</v>
      </c>
      <c r="AM153" t="s">
        <v>723</v>
      </c>
      <c r="AN153" t="s">
        <v>724</v>
      </c>
      <c r="AO153" t="s">
        <v>721</v>
      </c>
      <c r="AP153" t="s">
        <v>726</v>
      </c>
      <c r="AQ153" t="s">
        <v>727</v>
      </c>
      <c r="AR153" t="s">
        <v>728</v>
      </c>
      <c r="AS153" t="s">
        <v>725</v>
      </c>
    </row>
    <row r="154" spans="1:45" x14ac:dyDescent="0.2">
      <c r="A154" t="s">
        <v>830</v>
      </c>
      <c r="B154">
        <v>36</v>
      </c>
      <c r="C154">
        <v>28</v>
      </c>
      <c r="D154">
        <v>23</v>
      </c>
      <c r="E154">
        <v>48</v>
      </c>
      <c r="F154">
        <v>38</v>
      </c>
      <c r="G154">
        <v>30</v>
      </c>
      <c r="H154">
        <v>25</v>
      </c>
      <c r="I154">
        <v>37</v>
      </c>
      <c r="J154">
        <v>40</v>
      </c>
      <c r="K154">
        <v>33</v>
      </c>
      <c r="L154">
        <v>28</v>
      </c>
      <c r="M154">
        <v>26</v>
      </c>
      <c r="N154">
        <v>22</v>
      </c>
      <c r="O154">
        <v>37</v>
      </c>
      <c r="P154">
        <v>33</v>
      </c>
      <c r="Q154">
        <v>29</v>
      </c>
      <c r="R154">
        <v>33</v>
      </c>
      <c r="S154">
        <v>33</v>
      </c>
      <c r="T154">
        <v>30</v>
      </c>
      <c r="U154">
        <v>18</v>
      </c>
      <c r="V154">
        <v>29</v>
      </c>
      <c r="W154">
        <v>32</v>
      </c>
      <c r="X154">
        <v>30</v>
      </c>
      <c r="Y154">
        <v>15</v>
      </c>
      <c r="Z154">
        <v>25</v>
      </c>
      <c r="AA154">
        <v>30</v>
      </c>
      <c r="AB154">
        <v>30</v>
      </c>
      <c r="AC154">
        <v>13</v>
      </c>
      <c r="AD154">
        <v>23</v>
      </c>
      <c r="AE154">
        <v>29</v>
      </c>
      <c r="AF154">
        <v>29</v>
      </c>
      <c r="AG154">
        <v>14</v>
      </c>
      <c r="AH154">
        <v>21</v>
      </c>
      <c r="AI154">
        <v>27</v>
      </c>
      <c r="AJ154">
        <v>28</v>
      </c>
      <c r="AK154">
        <v>15</v>
      </c>
      <c r="AL154">
        <v>20</v>
      </c>
      <c r="AM154">
        <v>25</v>
      </c>
      <c r="AN154">
        <v>26</v>
      </c>
      <c r="AO154">
        <v>15</v>
      </c>
      <c r="AP154">
        <v>19</v>
      </c>
      <c r="AQ154">
        <v>23</v>
      </c>
      <c r="AR154">
        <v>25</v>
      </c>
      <c r="AS154">
        <v>15</v>
      </c>
    </row>
    <row r="155" spans="1:45" x14ac:dyDescent="0.2">
      <c r="A155" t="s">
        <v>815</v>
      </c>
      <c r="B155">
        <v>25</v>
      </c>
      <c r="C155">
        <v>25</v>
      </c>
      <c r="D155">
        <v>21</v>
      </c>
      <c r="E155">
        <v>35</v>
      </c>
      <c r="F155">
        <v>26</v>
      </c>
      <c r="G155">
        <v>25</v>
      </c>
      <c r="H155">
        <v>23</v>
      </c>
      <c r="I155">
        <v>29</v>
      </c>
      <c r="J155">
        <v>27</v>
      </c>
      <c r="K155">
        <v>25</v>
      </c>
      <c r="L155">
        <v>25</v>
      </c>
      <c r="M155">
        <v>22</v>
      </c>
      <c r="N155">
        <v>19</v>
      </c>
      <c r="O155">
        <v>25</v>
      </c>
      <c r="P155">
        <v>25</v>
      </c>
      <c r="Q155">
        <v>25</v>
      </c>
      <c r="R155">
        <v>24</v>
      </c>
      <c r="S155">
        <v>25</v>
      </c>
      <c r="T155">
        <v>25</v>
      </c>
      <c r="U155">
        <v>15</v>
      </c>
      <c r="V155">
        <v>22</v>
      </c>
      <c r="W155">
        <v>23</v>
      </c>
      <c r="X155">
        <v>24</v>
      </c>
      <c r="Y155">
        <v>13</v>
      </c>
      <c r="Z155">
        <v>20</v>
      </c>
      <c r="AA155">
        <v>22</v>
      </c>
      <c r="AB155">
        <v>24</v>
      </c>
      <c r="AC155">
        <v>11</v>
      </c>
      <c r="AD155">
        <v>18</v>
      </c>
      <c r="AE155">
        <v>21</v>
      </c>
      <c r="AF155">
        <v>23</v>
      </c>
      <c r="AG155">
        <v>12</v>
      </c>
      <c r="AH155">
        <v>17</v>
      </c>
      <c r="AI155">
        <v>20</v>
      </c>
      <c r="AJ155">
        <v>22</v>
      </c>
      <c r="AK155">
        <v>12</v>
      </c>
      <c r="AL155">
        <v>16</v>
      </c>
      <c r="AM155">
        <v>19</v>
      </c>
      <c r="AN155">
        <v>21</v>
      </c>
      <c r="AO155">
        <v>13</v>
      </c>
      <c r="AP155">
        <v>15</v>
      </c>
      <c r="AQ155">
        <v>18</v>
      </c>
      <c r="AR155">
        <v>20</v>
      </c>
      <c r="AS155">
        <v>13</v>
      </c>
    </row>
    <row r="156" spans="1:45" x14ac:dyDescent="0.2">
      <c r="A156" t="s">
        <v>2758</v>
      </c>
      <c r="B156">
        <v>18</v>
      </c>
      <c r="C156">
        <v>23</v>
      </c>
      <c r="D156">
        <v>25</v>
      </c>
      <c r="E156">
        <v>10</v>
      </c>
      <c r="F156">
        <v>15</v>
      </c>
      <c r="G156">
        <v>21</v>
      </c>
      <c r="H156">
        <v>23</v>
      </c>
      <c r="I156">
        <v>9</v>
      </c>
      <c r="J156">
        <v>12</v>
      </c>
      <c r="K156">
        <v>19</v>
      </c>
      <c r="L156">
        <v>22</v>
      </c>
      <c r="M156">
        <v>8</v>
      </c>
      <c r="N156">
        <v>8</v>
      </c>
      <c r="O156">
        <v>11</v>
      </c>
      <c r="P156">
        <v>17</v>
      </c>
      <c r="Q156">
        <v>21</v>
      </c>
      <c r="R156">
        <v>10</v>
      </c>
      <c r="S156">
        <v>15</v>
      </c>
      <c r="T156">
        <v>20</v>
      </c>
      <c r="U156">
        <v>7</v>
      </c>
      <c r="V156">
        <v>10</v>
      </c>
      <c r="W156">
        <v>14</v>
      </c>
      <c r="X156">
        <v>18</v>
      </c>
      <c r="Y156">
        <v>8</v>
      </c>
      <c r="Z156">
        <v>9</v>
      </c>
      <c r="AA156">
        <v>13</v>
      </c>
      <c r="AB156">
        <v>17</v>
      </c>
      <c r="AC156">
        <v>8</v>
      </c>
      <c r="AD156">
        <v>9</v>
      </c>
      <c r="AE156">
        <v>12</v>
      </c>
      <c r="AF156">
        <v>16</v>
      </c>
      <c r="AG156">
        <v>9</v>
      </c>
      <c r="AH156">
        <v>10</v>
      </c>
      <c r="AI156">
        <v>11</v>
      </c>
      <c r="AJ156">
        <v>15</v>
      </c>
      <c r="AK156">
        <v>10</v>
      </c>
      <c r="AL156">
        <v>10</v>
      </c>
      <c r="AM156">
        <v>11</v>
      </c>
      <c r="AN156">
        <v>14</v>
      </c>
      <c r="AO156">
        <v>10</v>
      </c>
      <c r="AP156">
        <v>10</v>
      </c>
      <c r="AQ156">
        <v>10</v>
      </c>
      <c r="AR156">
        <v>13</v>
      </c>
      <c r="AS156">
        <v>10</v>
      </c>
    </row>
    <row r="157" spans="1:45" x14ac:dyDescent="0.2">
      <c r="A157" t="s">
        <v>818</v>
      </c>
      <c r="B157">
        <v>18</v>
      </c>
      <c r="C157">
        <v>34</v>
      </c>
      <c r="D157">
        <v>49</v>
      </c>
      <c r="E157">
        <v>10</v>
      </c>
      <c r="F157">
        <v>15</v>
      </c>
      <c r="G157">
        <v>27</v>
      </c>
      <c r="H157">
        <v>43</v>
      </c>
      <c r="I157">
        <v>8</v>
      </c>
      <c r="J157">
        <v>11</v>
      </c>
      <c r="K157">
        <v>20</v>
      </c>
      <c r="L157">
        <v>38</v>
      </c>
      <c r="M157">
        <v>5</v>
      </c>
      <c r="N157">
        <v>6</v>
      </c>
      <c r="O157">
        <v>10</v>
      </c>
      <c r="P157">
        <v>16</v>
      </c>
      <c r="Q157">
        <v>34</v>
      </c>
      <c r="R157">
        <v>10</v>
      </c>
      <c r="S157">
        <v>16</v>
      </c>
      <c r="T157">
        <v>30</v>
      </c>
      <c r="U157">
        <v>7</v>
      </c>
      <c r="V157">
        <v>10</v>
      </c>
      <c r="W157">
        <v>15</v>
      </c>
      <c r="X157">
        <v>25</v>
      </c>
      <c r="Y157">
        <v>8</v>
      </c>
      <c r="Z157">
        <v>10</v>
      </c>
      <c r="AA157">
        <v>13</v>
      </c>
      <c r="AB157">
        <v>21</v>
      </c>
      <c r="AC157">
        <v>10</v>
      </c>
      <c r="AD157">
        <v>10</v>
      </c>
      <c r="AE157">
        <v>13</v>
      </c>
      <c r="AF157">
        <v>20</v>
      </c>
      <c r="AG157">
        <v>11</v>
      </c>
      <c r="AH157">
        <v>11</v>
      </c>
      <c r="AI157">
        <v>13</v>
      </c>
      <c r="AJ157">
        <v>18</v>
      </c>
      <c r="AK157">
        <v>12</v>
      </c>
      <c r="AL157">
        <v>12</v>
      </c>
      <c r="AM157">
        <v>13</v>
      </c>
      <c r="AN157">
        <v>17</v>
      </c>
      <c r="AO157">
        <v>13</v>
      </c>
      <c r="AP157">
        <v>13</v>
      </c>
      <c r="AQ157">
        <v>13</v>
      </c>
      <c r="AR157">
        <v>15</v>
      </c>
      <c r="AS157">
        <v>15</v>
      </c>
    </row>
    <row r="158" spans="1:45" x14ac:dyDescent="0.2">
      <c r="A158" t="s">
        <v>816</v>
      </c>
      <c r="B158">
        <v>43</v>
      </c>
      <c r="C158">
        <v>30</v>
      </c>
      <c r="D158">
        <v>23</v>
      </c>
      <c r="E158">
        <v>38</v>
      </c>
      <c r="F158">
        <v>40</v>
      </c>
      <c r="G158">
        <v>32</v>
      </c>
      <c r="H158">
        <v>26</v>
      </c>
      <c r="I158">
        <v>28</v>
      </c>
      <c r="J158">
        <v>37</v>
      </c>
      <c r="K158">
        <v>35</v>
      </c>
      <c r="L158">
        <v>29</v>
      </c>
      <c r="M158">
        <v>19</v>
      </c>
      <c r="N158">
        <v>16</v>
      </c>
      <c r="O158">
        <v>33</v>
      </c>
      <c r="P158">
        <v>35</v>
      </c>
      <c r="Q158">
        <v>30</v>
      </c>
      <c r="R158">
        <v>29</v>
      </c>
      <c r="S158">
        <v>34</v>
      </c>
      <c r="T158">
        <v>30</v>
      </c>
      <c r="U158">
        <v>13</v>
      </c>
      <c r="V158">
        <v>25</v>
      </c>
      <c r="W158">
        <v>31</v>
      </c>
      <c r="X158">
        <v>30</v>
      </c>
      <c r="Y158">
        <v>12</v>
      </c>
      <c r="Z158">
        <v>21</v>
      </c>
      <c r="AA158">
        <v>29</v>
      </c>
      <c r="AB158">
        <v>30</v>
      </c>
      <c r="AC158">
        <v>11</v>
      </c>
      <c r="AD158">
        <v>20</v>
      </c>
      <c r="AE158">
        <v>27</v>
      </c>
      <c r="AF158">
        <v>28</v>
      </c>
      <c r="AG158">
        <v>12</v>
      </c>
      <c r="AH158">
        <v>19</v>
      </c>
      <c r="AI158">
        <v>25</v>
      </c>
      <c r="AJ158">
        <v>27</v>
      </c>
      <c r="AK158">
        <v>13</v>
      </c>
      <c r="AL158">
        <v>18</v>
      </c>
      <c r="AM158">
        <v>23</v>
      </c>
      <c r="AN158">
        <v>25</v>
      </c>
      <c r="AO158">
        <v>14</v>
      </c>
      <c r="AP158">
        <v>16</v>
      </c>
      <c r="AQ158">
        <v>20</v>
      </c>
      <c r="AR158">
        <v>24</v>
      </c>
      <c r="AS158">
        <v>15</v>
      </c>
    </row>
    <row r="159" spans="1:45" x14ac:dyDescent="0.2">
      <c r="A159" t="s">
        <v>1531</v>
      </c>
      <c r="B159">
        <v>35</v>
      </c>
      <c r="C159">
        <v>39</v>
      </c>
      <c r="D159">
        <v>24</v>
      </c>
      <c r="E159">
        <v>13</v>
      </c>
      <c r="F159">
        <v>27</v>
      </c>
      <c r="G159">
        <v>32</v>
      </c>
      <c r="H159">
        <v>28</v>
      </c>
      <c r="I159">
        <v>9</v>
      </c>
      <c r="J159">
        <v>20</v>
      </c>
      <c r="K159">
        <v>26</v>
      </c>
      <c r="L159">
        <v>32</v>
      </c>
      <c r="M159">
        <v>5</v>
      </c>
      <c r="N159">
        <v>6</v>
      </c>
      <c r="O159">
        <v>17</v>
      </c>
      <c r="P159">
        <v>27</v>
      </c>
      <c r="Q159">
        <v>31</v>
      </c>
      <c r="R159">
        <v>14</v>
      </c>
      <c r="S159">
        <v>27</v>
      </c>
      <c r="T159">
        <v>30</v>
      </c>
      <c r="U159">
        <v>6</v>
      </c>
      <c r="V159">
        <v>12</v>
      </c>
      <c r="W159">
        <v>23</v>
      </c>
      <c r="X159">
        <v>29</v>
      </c>
      <c r="Y159">
        <v>7</v>
      </c>
      <c r="Z159">
        <v>10</v>
      </c>
      <c r="AA159">
        <v>20</v>
      </c>
      <c r="AB159">
        <v>27</v>
      </c>
      <c r="AC159">
        <v>8</v>
      </c>
      <c r="AD159">
        <v>11</v>
      </c>
      <c r="AE159">
        <v>18</v>
      </c>
      <c r="AF159">
        <v>25</v>
      </c>
      <c r="AG159">
        <v>9</v>
      </c>
      <c r="AH159">
        <v>11</v>
      </c>
      <c r="AI159">
        <v>17</v>
      </c>
      <c r="AJ159">
        <v>23</v>
      </c>
      <c r="AK159">
        <v>10</v>
      </c>
      <c r="AL159">
        <v>12</v>
      </c>
      <c r="AM159">
        <v>16</v>
      </c>
      <c r="AN159">
        <v>21</v>
      </c>
      <c r="AO159">
        <v>12</v>
      </c>
      <c r="AP159">
        <v>12</v>
      </c>
      <c r="AQ159">
        <v>15</v>
      </c>
      <c r="AR159">
        <v>19</v>
      </c>
      <c r="AS159">
        <v>13</v>
      </c>
    </row>
    <row r="160" spans="1:45" x14ac:dyDescent="0.2">
      <c r="A160" t="s">
        <v>817</v>
      </c>
      <c r="B160">
        <v>25</v>
      </c>
      <c r="C160">
        <v>52</v>
      </c>
      <c r="D160">
        <v>46</v>
      </c>
      <c r="E160">
        <v>10</v>
      </c>
      <c r="F160">
        <v>18</v>
      </c>
      <c r="G160">
        <v>42</v>
      </c>
      <c r="H160">
        <v>47</v>
      </c>
      <c r="I160">
        <v>8</v>
      </c>
      <c r="J160">
        <v>12</v>
      </c>
      <c r="K160">
        <v>32</v>
      </c>
      <c r="L160">
        <v>47</v>
      </c>
      <c r="M160">
        <v>6</v>
      </c>
      <c r="N160">
        <v>7</v>
      </c>
      <c r="O160">
        <v>11</v>
      </c>
      <c r="P160">
        <v>27</v>
      </c>
      <c r="Q160">
        <v>43</v>
      </c>
      <c r="R160">
        <v>10</v>
      </c>
      <c r="S160">
        <v>23</v>
      </c>
      <c r="T160">
        <v>39</v>
      </c>
      <c r="U160">
        <v>7</v>
      </c>
      <c r="V160">
        <v>10</v>
      </c>
      <c r="W160">
        <v>20</v>
      </c>
      <c r="X160">
        <v>34</v>
      </c>
      <c r="Y160">
        <v>9</v>
      </c>
      <c r="Z160">
        <v>10</v>
      </c>
      <c r="AA160">
        <v>16</v>
      </c>
      <c r="AB160">
        <v>30</v>
      </c>
      <c r="AC160">
        <v>10</v>
      </c>
      <c r="AD160">
        <v>11</v>
      </c>
      <c r="AE160">
        <v>16</v>
      </c>
      <c r="AF160">
        <v>27</v>
      </c>
      <c r="AG160">
        <v>12</v>
      </c>
      <c r="AH160">
        <v>12</v>
      </c>
      <c r="AI160">
        <v>15</v>
      </c>
      <c r="AJ160">
        <v>25</v>
      </c>
      <c r="AK160">
        <v>14</v>
      </c>
      <c r="AL160">
        <v>13</v>
      </c>
      <c r="AM160">
        <v>15</v>
      </c>
      <c r="AN160">
        <v>22</v>
      </c>
      <c r="AO160">
        <v>15</v>
      </c>
      <c r="AP160">
        <v>15</v>
      </c>
      <c r="AQ160">
        <v>15</v>
      </c>
      <c r="AR160">
        <v>20</v>
      </c>
      <c r="AS160">
        <v>16</v>
      </c>
    </row>
    <row r="161" spans="1:45" x14ac:dyDescent="0.2">
      <c r="A161" t="s">
        <v>2759</v>
      </c>
      <c r="B161">
        <v>19</v>
      </c>
      <c r="C161">
        <v>49</v>
      </c>
      <c r="D161">
        <v>59</v>
      </c>
      <c r="E161">
        <v>10</v>
      </c>
      <c r="F161">
        <v>15</v>
      </c>
      <c r="G161">
        <v>38</v>
      </c>
      <c r="H161">
        <v>54</v>
      </c>
      <c r="I161">
        <v>8</v>
      </c>
      <c r="J161">
        <v>12</v>
      </c>
      <c r="K161">
        <v>26</v>
      </c>
      <c r="L161">
        <v>50</v>
      </c>
      <c r="M161">
        <v>6</v>
      </c>
      <c r="N161">
        <v>7</v>
      </c>
      <c r="O161">
        <v>11</v>
      </c>
      <c r="P161">
        <v>23</v>
      </c>
      <c r="Q161">
        <v>45</v>
      </c>
      <c r="R161">
        <v>10</v>
      </c>
      <c r="S161">
        <v>20</v>
      </c>
      <c r="T161">
        <v>39</v>
      </c>
      <c r="U161">
        <v>8</v>
      </c>
      <c r="V161">
        <v>10</v>
      </c>
      <c r="W161">
        <v>17</v>
      </c>
      <c r="X161">
        <v>33</v>
      </c>
      <c r="Y161">
        <v>10</v>
      </c>
      <c r="Z161">
        <v>10</v>
      </c>
      <c r="AA161">
        <v>15</v>
      </c>
      <c r="AB161">
        <v>28</v>
      </c>
      <c r="AC161">
        <v>11</v>
      </c>
      <c r="AD161">
        <v>12</v>
      </c>
      <c r="AE161">
        <v>15</v>
      </c>
      <c r="AF161">
        <v>25</v>
      </c>
      <c r="AG161">
        <v>13</v>
      </c>
      <c r="AH161">
        <v>13</v>
      </c>
      <c r="AI161">
        <v>15</v>
      </c>
      <c r="AJ161">
        <v>23</v>
      </c>
      <c r="AK161">
        <v>15</v>
      </c>
      <c r="AL161">
        <v>14</v>
      </c>
      <c r="AM161">
        <v>15</v>
      </c>
      <c r="AN161">
        <v>21</v>
      </c>
      <c r="AO161">
        <v>16</v>
      </c>
      <c r="AP161">
        <v>15</v>
      </c>
      <c r="AQ161">
        <v>15</v>
      </c>
      <c r="AR161">
        <v>19</v>
      </c>
      <c r="AS161">
        <v>18</v>
      </c>
    </row>
    <row r="163" spans="1:45" x14ac:dyDescent="0.2">
      <c r="A163" t="s">
        <v>2405</v>
      </c>
    </row>
    <row r="164" spans="1:45" x14ac:dyDescent="0.2">
      <c r="A164" t="s">
        <v>2406</v>
      </c>
      <c r="B164">
        <v>1.2</v>
      </c>
    </row>
    <row r="165" spans="1:45" x14ac:dyDescent="0.2">
      <c r="A165" t="s">
        <v>3789</v>
      </c>
      <c r="B165">
        <v>1</v>
      </c>
    </row>
    <row r="166" spans="1:45" x14ac:dyDescent="0.2">
      <c r="A166" t="s">
        <v>2407</v>
      </c>
      <c r="B166">
        <v>0.78</v>
      </c>
    </row>
    <row r="169" spans="1:45" x14ac:dyDescent="0.2">
      <c r="B169" t="s">
        <v>2654</v>
      </c>
      <c r="C169" t="s">
        <v>2655</v>
      </c>
      <c r="D169" t="s">
        <v>2656</v>
      </c>
      <c r="E169" t="s">
        <v>2657</v>
      </c>
      <c r="F169" t="s">
        <v>2658</v>
      </c>
      <c r="G169" t="s">
        <v>2659</v>
      </c>
      <c r="H169" t="s">
        <v>2660</v>
      </c>
      <c r="I169" t="s">
        <v>2661</v>
      </c>
      <c r="J169" t="s">
        <v>2674</v>
      </c>
      <c r="K169" t="s">
        <v>2675</v>
      </c>
      <c r="L169" t="s">
        <v>2676</v>
      </c>
      <c r="M169" t="s">
        <v>2677</v>
      </c>
      <c r="N169" t="s">
        <v>2662</v>
      </c>
      <c r="O169" t="s">
        <v>2663</v>
      </c>
      <c r="P169" t="s">
        <v>2664</v>
      </c>
      <c r="Q169" t="s">
        <v>2665</v>
      </c>
      <c r="R169" t="s">
        <v>2678</v>
      </c>
      <c r="S169" t="s">
        <v>2679</v>
      </c>
      <c r="T169" t="s">
        <v>2680</v>
      </c>
      <c r="U169" t="s">
        <v>2681</v>
      </c>
      <c r="V169" t="s">
        <v>2666</v>
      </c>
      <c r="W169" t="s">
        <v>2667</v>
      </c>
      <c r="X169" t="s">
        <v>2668</v>
      </c>
      <c r="Y169" t="s">
        <v>2669</v>
      </c>
      <c r="Z169" t="s">
        <v>2682</v>
      </c>
      <c r="AA169" t="s">
        <v>2683</v>
      </c>
      <c r="AB169" t="s">
        <v>2684</v>
      </c>
      <c r="AC169" t="s">
        <v>2685</v>
      </c>
      <c r="AD169" s="1012" t="s">
        <v>2686</v>
      </c>
      <c r="AE169" s="1012" t="s">
        <v>2687</v>
      </c>
      <c r="AF169" s="1012" t="s">
        <v>2688</v>
      </c>
      <c r="AG169" s="1012" t="s">
        <v>2689</v>
      </c>
      <c r="AH169" s="1012" t="s">
        <v>2690</v>
      </c>
      <c r="AI169" s="1012" t="s">
        <v>2691</v>
      </c>
      <c r="AJ169" s="1012" t="s">
        <v>2692</v>
      </c>
      <c r="AK169" s="1012" t="s">
        <v>2693</v>
      </c>
      <c r="AL169" t="s">
        <v>2670</v>
      </c>
      <c r="AM169" t="s">
        <v>2671</v>
      </c>
      <c r="AN169" t="s">
        <v>2672</v>
      </c>
      <c r="AO169" t="s">
        <v>2673</v>
      </c>
      <c r="AP169" t="s">
        <v>2694</v>
      </c>
      <c r="AQ169" t="s">
        <v>2695</v>
      </c>
      <c r="AR169" t="s">
        <v>2696</v>
      </c>
      <c r="AS169" t="s">
        <v>2697</v>
      </c>
    </row>
    <row r="170" spans="1:45" x14ac:dyDescent="0.2">
      <c r="A170" t="s">
        <v>879</v>
      </c>
      <c r="B170">
        <v>27</v>
      </c>
      <c r="C170">
        <v>59</v>
      </c>
      <c r="D170">
        <v>69</v>
      </c>
      <c r="E170">
        <v>64</v>
      </c>
      <c r="F170">
        <v>19</v>
      </c>
      <c r="G170">
        <v>42</v>
      </c>
      <c r="H170">
        <v>49</v>
      </c>
      <c r="I170">
        <v>45</v>
      </c>
      <c r="J170">
        <v>19</v>
      </c>
      <c r="K170">
        <v>42</v>
      </c>
      <c r="L170">
        <v>49</v>
      </c>
      <c r="M170">
        <v>45</v>
      </c>
      <c r="N170">
        <v>27</v>
      </c>
      <c r="O170">
        <v>59</v>
      </c>
      <c r="P170">
        <v>69</v>
      </c>
      <c r="Q170">
        <v>64</v>
      </c>
      <c r="R170">
        <v>27</v>
      </c>
      <c r="S170">
        <v>59</v>
      </c>
      <c r="T170">
        <v>69</v>
      </c>
      <c r="U170">
        <v>64</v>
      </c>
      <c r="V170">
        <v>11</v>
      </c>
      <c r="W170">
        <v>24</v>
      </c>
      <c r="X170">
        <v>29</v>
      </c>
      <c r="Y170">
        <v>26</v>
      </c>
      <c r="Z170">
        <v>11</v>
      </c>
      <c r="AA170">
        <v>24</v>
      </c>
      <c r="AB170">
        <v>29</v>
      </c>
      <c r="AC170">
        <v>26</v>
      </c>
      <c r="AD170">
        <v>9</v>
      </c>
      <c r="AE170">
        <v>20</v>
      </c>
      <c r="AF170">
        <v>24</v>
      </c>
      <c r="AG170">
        <v>21</v>
      </c>
      <c r="AH170">
        <v>9</v>
      </c>
      <c r="AI170">
        <v>20</v>
      </c>
      <c r="AJ170">
        <v>24</v>
      </c>
      <c r="AK170">
        <v>21</v>
      </c>
      <c r="AL170">
        <v>5</v>
      </c>
      <c r="AM170">
        <v>11</v>
      </c>
      <c r="AN170">
        <v>14</v>
      </c>
      <c r="AO170">
        <v>12</v>
      </c>
      <c r="AP170">
        <v>5</v>
      </c>
      <c r="AQ170">
        <v>11</v>
      </c>
      <c r="AR170">
        <v>14</v>
      </c>
      <c r="AS170">
        <v>12</v>
      </c>
    </row>
    <row r="171" spans="1:45" x14ac:dyDescent="0.2">
      <c r="A171" t="s">
        <v>878</v>
      </c>
      <c r="B171">
        <v>18</v>
      </c>
      <c r="C171">
        <v>53</v>
      </c>
      <c r="D171">
        <v>65</v>
      </c>
      <c r="E171">
        <v>58</v>
      </c>
      <c r="F171">
        <v>10</v>
      </c>
      <c r="G171">
        <v>36</v>
      </c>
      <c r="H171">
        <v>45</v>
      </c>
      <c r="I171">
        <v>39</v>
      </c>
      <c r="J171">
        <v>10</v>
      </c>
      <c r="K171">
        <v>36</v>
      </c>
      <c r="L171">
        <v>45</v>
      </c>
      <c r="M171">
        <v>39</v>
      </c>
      <c r="N171">
        <v>18</v>
      </c>
      <c r="O171">
        <v>53</v>
      </c>
      <c r="P171">
        <v>65</v>
      </c>
      <c r="Q171">
        <v>58</v>
      </c>
      <c r="R171">
        <v>18</v>
      </c>
      <c r="S171">
        <v>53</v>
      </c>
      <c r="T171">
        <v>65</v>
      </c>
      <c r="U171">
        <v>58</v>
      </c>
      <c r="V171">
        <v>2</v>
      </c>
      <c r="W171">
        <v>18</v>
      </c>
      <c r="X171">
        <v>25</v>
      </c>
      <c r="Y171">
        <v>20</v>
      </c>
      <c r="Z171">
        <v>2</v>
      </c>
      <c r="AA171">
        <v>18</v>
      </c>
      <c r="AB171">
        <v>25</v>
      </c>
      <c r="AC171">
        <v>20</v>
      </c>
      <c r="AD171">
        <v>0</v>
      </c>
      <c r="AE171">
        <v>14</v>
      </c>
      <c r="AF171">
        <v>20</v>
      </c>
      <c r="AG171">
        <v>15</v>
      </c>
      <c r="AH171">
        <v>0</v>
      </c>
      <c r="AI171">
        <v>14</v>
      </c>
      <c r="AJ171">
        <v>20</v>
      </c>
      <c r="AK171">
        <v>15</v>
      </c>
      <c r="AL171">
        <v>-4</v>
      </c>
      <c r="AM171">
        <v>5</v>
      </c>
      <c r="AN171">
        <v>10</v>
      </c>
      <c r="AO171">
        <v>6</v>
      </c>
      <c r="AP171">
        <v>-4</v>
      </c>
      <c r="AQ171">
        <v>5</v>
      </c>
      <c r="AR171">
        <v>10</v>
      </c>
      <c r="AS171">
        <v>6</v>
      </c>
    </row>
    <row r="172" spans="1:45" x14ac:dyDescent="0.2">
      <c r="A172" t="s">
        <v>880</v>
      </c>
      <c r="B172">
        <v>32</v>
      </c>
      <c r="C172">
        <v>64</v>
      </c>
      <c r="D172">
        <v>74</v>
      </c>
      <c r="E172">
        <v>69</v>
      </c>
      <c r="F172">
        <v>24</v>
      </c>
      <c r="G172">
        <v>47</v>
      </c>
      <c r="H172">
        <v>54</v>
      </c>
      <c r="I172">
        <v>50</v>
      </c>
      <c r="J172">
        <v>24</v>
      </c>
      <c r="K172">
        <v>47</v>
      </c>
      <c r="L172">
        <v>54</v>
      </c>
      <c r="M172">
        <v>50</v>
      </c>
      <c r="N172">
        <v>32</v>
      </c>
      <c r="O172">
        <v>64</v>
      </c>
      <c r="P172">
        <v>74</v>
      </c>
      <c r="Q172">
        <v>69</v>
      </c>
      <c r="R172">
        <v>32</v>
      </c>
      <c r="S172">
        <v>64</v>
      </c>
      <c r="T172">
        <v>74</v>
      </c>
      <c r="U172">
        <v>69</v>
      </c>
      <c r="V172">
        <v>16</v>
      </c>
      <c r="W172">
        <v>29</v>
      </c>
      <c r="X172">
        <v>34</v>
      </c>
      <c r="Y172">
        <v>31</v>
      </c>
      <c r="Z172">
        <v>16</v>
      </c>
      <c r="AA172">
        <v>29</v>
      </c>
      <c r="AB172">
        <v>34</v>
      </c>
      <c r="AC172">
        <v>31</v>
      </c>
      <c r="AD172">
        <v>14</v>
      </c>
      <c r="AE172">
        <v>25</v>
      </c>
      <c r="AF172">
        <v>29</v>
      </c>
      <c r="AG172">
        <v>26</v>
      </c>
      <c r="AH172">
        <v>14</v>
      </c>
      <c r="AI172">
        <v>25</v>
      </c>
      <c r="AJ172">
        <v>29</v>
      </c>
      <c r="AK172">
        <v>26</v>
      </c>
      <c r="AL172">
        <v>10</v>
      </c>
      <c r="AM172">
        <v>16</v>
      </c>
      <c r="AN172">
        <v>19</v>
      </c>
      <c r="AO172">
        <v>17</v>
      </c>
      <c r="AP172">
        <v>10</v>
      </c>
      <c r="AQ172">
        <v>16</v>
      </c>
      <c r="AR172">
        <v>19</v>
      </c>
      <c r="AS172">
        <v>17</v>
      </c>
    </row>
    <row r="173" spans="1:45" x14ac:dyDescent="0.2">
      <c r="A173" t="s">
        <v>881</v>
      </c>
      <c r="B173">
        <v>23</v>
      </c>
      <c r="C173">
        <v>58</v>
      </c>
      <c r="D173">
        <v>70</v>
      </c>
      <c r="E173">
        <v>63</v>
      </c>
      <c r="F173">
        <v>15</v>
      </c>
      <c r="G173">
        <v>41</v>
      </c>
      <c r="H173">
        <v>50</v>
      </c>
      <c r="I173">
        <v>44</v>
      </c>
      <c r="J173">
        <v>15</v>
      </c>
      <c r="K173">
        <v>41</v>
      </c>
      <c r="L173">
        <v>50</v>
      </c>
      <c r="M173">
        <v>44</v>
      </c>
      <c r="N173">
        <v>23</v>
      </c>
      <c r="O173">
        <v>58</v>
      </c>
      <c r="P173">
        <v>70</v>
      </c>
      <c r="Q173">
        <v>63</v>
      </c>
      <c r="R173">
        <v>23</v>
      </c>
      <c r="S173">
        <v>58</v>
      </c>
      <c r="T173">
        <v>70</v>
      </c>
      <c r="U173">
        <v>63</v>
      </c>
      <c r="V173">
        <v>7</v>
      </c>
      <c r="W173">
        <v>23</v>
      </c>
      <c r="X173">
        <v>30</v>
      </c>
      <c r="Y173">
        <v>25</v>
      </c>
      <c r="Z173">
        <v>7</v>
      </c>
      <c r="AA173">
        <v>23</v>
      </c>
      <c r="AB173">
        <v>30</v>
      </c>
      <c r="AC173">
        <v>25</v>
      </c>
      <c r="AD173">
        <v>5</v>
      </c>
      <c r="AE173">
        <v>19</v>
      </c>
      <c r="AF173">
        <v>25</v>
      </c>
      <c r="AG173">
        <v>20</v>
      </c>
      <c r="AH173">
        <v>5</v>
      </c>
      <c r="AI173">
        <v>19</v>
      </c>
      <c r="AJ173">
        <v>25</v>
      </c>
      <c r="AK173">
        <v>20</v>
      </c>
      <c r="AL173">
        <v>1</v>
      </c>
      <c r="AM173">
        <v>10</v>
      </c>
      <c r="AN173">
        <v>15</v>
      </c>
      <c r="AO173">
        <v>11</v>
      </c>
      <c r="AP173">
        <v>1</v>
      </c>
      <c r="AQ173">
        <v>10</v>
      </c>
      <c r="AR173">
        <v>15</v>
      </c>
      <c r="AS173">
        <v>11</v>
      </c>
    </row>
    <row r="174" spans="1:45" x14ac:dyDescent="0.2">
      <c r="A174" t="s">
        <v>882</v>
      </c>
      <c r="B174">
        <v>14</v>
      </c>
      <c r="C174">
        <v>52</v>
      </c>
      <c r="D174">
        <v>75</v>
      </c>
      <c r="E174">
        <v>56</v>
      </c>
      <c r="F174">
        <v>6</v>
      </c>
      <c r="G174">
        <v>34</v>
      </c>
      <c r="H174">
        <v>45</v>
      </c>
      <c r="I174">
        <v>37</v>
      </c>
      <c r="J174">
        <v>6</v>
      </c>
      <c r="K174">
        <v>34</v>
      </c>
      <c r="L174">
        <v>45</v>
      </c>
      <c r="M174">
        <v>37</v>
      </c>
      <c r="N174">
        <v>14</v>
      </c>
      <c r="O174">
        <v>52</v>
      </c>
      <c r="P174">
        <v>65</v>
      </c>
      <c r="Q174">
        <v>56</v>
      </c>
      <c r="R174">
        <v>14</v>
      </c>
      <c r="S174">
        <v>52</v>
      </c>
      <c r="T174">
        <v>65</v>
      </c>
      <c r="U174">
        <v>56</v>
      </c>
      <c r="V174">
        <v>-2</v>
      </c>
      <c r="W174">
        <v>17</v>
      </c>
      <c r="X174">
        <v>25</v>
      </c>
      <c r="Y174">
        <v>18</v>
      </c>
      <c r="Z174">
        <v>-2</v>
      </c>
      <c r="AA174">
        <v>17</v>
      </c>
      <c r="AB174">
        <v>25</v>
      </c>
      <c r="AC174">
        <v>18</v>
      </c>
      <c r="AD174">
        <v>-4</v>
      </c>
      <c r="AE174">
        <v>12</v>
      </c>
      <c r="AF174">
        <v>20</v>
      </c>
      <c r="AG174">
        <v>13</v>
      </c>
      <c r="AH174">
        <v>-4</v>
      </c>
      <c r="AI174">
        <v>12</v>
      </c>
      <c r="AJ174">
        <v>20</v>
      </c>
      <c r="AK174">
        <v>13</v>
      </c>
      <c r="AL174">
        <v>-8</v>
      </c>
      <c r="AM174">
        <v>4</v>
      </c>
      <c r="AN174">
        <v>10</v>
      </c>
      <c r="AO174">
        <v>4</v>
      </c>
      <c r="AP174">
        <v>-8</v>
      </c>
      <c r="AQ174">
        <v>4</v>
      </c>
      <c r="AR174">
        <v>10</v>
      </c>
      <c r="AS174">
        <v>4</v>
      </c>
    </row>
    <row r="175" spans="1:45" x14ac:dyDescent="0.2">
      <c r="A175" t="s">
        <v>883</v>
      </c>
      <c r="B175">
        <v>37</v>
      </c>
      <c r="C175">
        <v>69</v>
      </c>
      <c r="D175">
        <v>79</v>
      </c>
      <c r="E175">
        <v>74</v>
      </c>
      <c r="F175">
        <v>29</v>
      </c>
      <c r="G175">
        <v>52</v>
      </c>
      <c r="H175">
        <v>59</v>
      </c>
      <c r="I175">
        <v>55</v>
      </c>
      <c r="J175">
        <v>29</v>
      </c>
      <c r="K175">
        <v>52</v>
      </c>
      <c r="L175">
        <v>59</v>
      </c>
      <c r="M175">
        <v>55</v>
      </c>
      <c r="N175">
        <v>37</v>
      </c>
      <c r="O175">
        <v>69</v>
      </c>
      <c r="P175">
        <v>79</v>
      </c>
      <c r="Q175">
        <v>74</v>
      </c>
      <c r="R175">
        <v>37</v>
      </c>
      <c r="S175">
        <v>69</v>
      </c>
      <c r="T175">
        <v>79</v>
      </c>
      <c r="U175">
        <v>74</v>
      </c>
      <c r="V175">
        <v>21</v>
      </c>
      <c r="W175">
        <v>34</v>
      </c>
      <c r="X175">
        <v>39</v>
      </c>
      <c r="Y175">
        <v>36</v>
      </c>
      <c r="Z175">
        <v>21</v>
      </c>
      <c r="AA175">
        <v>34</v>
      </c>
      <c r="AB175">
        <v>39</v>
      </c>
      <c r="AC175">
        <v>36</v>
      </c>
      <c r="AD175">
        <v>19</v>
      </c>
      <c r="AE175">
        <v>30</v>
      </c>
      <c r="AF175">
        <v>34</v>
      </c>
      <c r="AG175">
        <v>31</v>
      </c>
      <c r="AH175">
        <v>19</v>
      </c>
      <c r="AI175">
        <v>30</v>
      </c>
      <c r="AJ175">
        <v>34</v>
      </c>
      <c r="AK175">
        <v>31</v>
      </c>
      <c r="AL175">
        <v>15</v>
      </c>
      <c r="AM175">
        <v>21</v>
      </c>
      <c r="AN175">
        <v>24</v>
      </c>
      <c r="AO175">
        <v>22</v>
      </c>
      <c r="AP175">
        <v>15</v>
      </c>
      <c r="AQ175">
        <v>21</v>
      </c>
      <c r="AR175">
        <v>24</v>
      </c>
      <c r="AS175">
        <v>22</v>
      </c>
    </row>
    <row r="176" spans="1:45" x14ac:dyDescent="0.2">
      <c r="A176" t="s">
        <v>884</v>
      </c>
      <c r="B176">
        <v>28</v>
      </c>
      <c r="C176">
        <v>63</v>
      </c>
      <c r="D176">
        <v>75</v>
      </c>
      <c r="E176">
        <v>68</v>
      </c>
      <c r="F176">
        <v>20</v>
      </c>
      <c r="G176">
        <v>46</v>
      </c>
      <c r="H176">
        <v>55</v>
      </c>
      <c r="I176">
        <v>49</v>
      </c>
      <c r="J176">
        <v>20</v>
      </c>
      <c r="K176">
        <v>46</v>
      </c>
      <c r="L176">
        <v>55</v>
      </c>
      <c r="M176">
        <v>49</v>
      </c>
      <c r="N176">
        <v>28</v>
      </c>
      <c r="O176">
        <v>63</v>
      </c>
      <c r="P176">
        <v>75</v>
      </c>
      <c r="Q176">
        <v>68</v>
      </c>
      <c r="R176">
        <v>28</v>
      </c>
      <c r="S176">
        <v>63</v>
      </c>
      <c r="T176">
        <v>75</v>
      </c>
      <c r="U176">
        <v>68</v>
      </c>
      <c r="V176">
        <v>12</v>
      </c>
      <c r="W176">
        <v>28</v>
      </c>
      <c r="X176">
        <v>35</v>
      </c>
      <c r="Y176">
        <v>30</v>
      </c>
      <c r="Z176">
        <v>12</v>
      </c>
      <c r="AA176">
        <v>28</v>
      </c>
      <c r="AB176">
        <v>35</v>
      </c>
      <c r="AC176">
        <v>30</v>
      </c>
      <c r="AD176">
        <v>10</v>
      </c>
      <c r="AE176">
        <v>24</v>
      </c>
      <c r="AF176">
        <v>30</v>
      </c>
      <c r="AG176">
        <v>25</v>
      </c>
      <c r="AH176">
        <v>10</v>
      </c>
      <c r="AI176">
        <v>24</v>
      </c>
      <c r="AJ176">
        <v>30</v>
      </c>
      <c r="AK176">
        <v>25</v>
      </c>
      <c r="AL176">
        <v>6</v>
      </c>
      <c r="AM176">
        <v>15</v>
      </c>
      <c r="AN176">
        <v>20</v>
      </c>
      <c r="AO176">
        <v>16</v>
      </c>
      <c r="AP176">
        <v>6</v>
      </c>
      <c r="AQ176">
        <v>15</v>
      </c>
      <c r="AR176">
        <v>20</v>
      </c>
      <c r="AS176">
        <v>16</v>
      </c>
    </row>
    <row r="177" spans="1:45" x14ac:dyDescent="0.2">
      <c r="A177" t="s">
        <v>885</v>
      </c>
      <c r="B177">
        <v>19</v>
      </c>
      <c r="C177">
        <v>57</v>
      </c>
      <c r="D177">
        <v>70</v>
      </c>
      <c r="E177">
        <v>61</v>
      </c>
      <c r="F177">
        <v>11</v>
      </c>
      <c r="G177">
        <v>39</v>
      </c>
      <c r="H177">
        <v>50</v>
      </c>
      <c r="I177">
        <v>42</v>
      </c>
      <c r="J177">
        <v>11</v>
      </c>
      <c r="K177">
        <v>39</v>
      </c>
      <c r="L177">
        <v>50</v>
      </c>
      <c r="M177">
        <v>42</v>
      </c>
      <c r="N177">
        <v>19</v>
      </c>
      <c r="O177">
        <v>57</v>
      </c>
      <c r="P177">
        <v>70</v>
      </c>
      <c r="Q177">
        <v>61</v>
      </c>
      <c r="R177">
        <v>19</v>
      </c>
      <c r="S177">
        <v>57</v>
      </c>
      <c r="T177">
        <v>70</v>
      </c>
      <c r="U177">
        <v>61</v>
      </c>
      <c r="V177">
        <v>3</v>
      </c>
      <c r="W177">
        <v>22</v>
      </c>
      <c r="X177">
        <v>30</v>
      </c>
      <c r="Y177">
        <v>23</v>
      </c>
      <c r="Z177">
        <v>3</v>
      </c>
      <c r="AA177">
        <v>22</v>
      </c>
      <c r="AB177">
        <v>30</v>
      </c>
      <c r="AC177">
        <v>23</v>
      </c>
      <c r="AD177">
        <v>1</v>
      </c>
      <c r="AE177">
        <v>17</v>
      </c>
      <c r="AF177">
        <v>25</v>
      </c>
      <c r="AG177">
        <v>18</v>
      </c>
      <c r="AH177">
        <v>1</v>
      </c>
      <c r="AI177">
        <v>17</v>
      </c>
      <c r="AJ177">
        <v>25</v>
      </c>
      <c r="AK177">
        <v>18</v>
      </c>
      <c r="AL177">
        <v>-3</v>
      </c>
      <c r="AM177">
        <v>9</v>
      </c>
      <c r="AN177">
        <v>15</v>
      </c>
      <c r="AO177">
        <v>9</v>
      </c>
      <c r="AP177">
        <v>-3</v>
      </c>
      <c r="AQ177">
        <v>9</v>
      </c>
      <c r="AR177">
        <v>15</v>
      </c>
      <c r="AS177">
        <v>9</v>
      </c>
    </row>
    <row r="178" spans="1:45" x14ac:dyDescent="0.2">
      <c r="A178" t="s">
        <v>886</v>
      </c>
      <c r="B178">
        <v>23</v>
      </c>
      <c r="C178">
        <v>68</v>
      </c>
      <c r="D178">
        <v>80</v>
      </c>
      <c r="E178">
        <v>73</v>
      </c>
      <c r="F178">
        <v>25</v>
      </c>
      <c r="G178">
        <v>51</v>
      </c>
      <c r="H178">
        <v>60</v>
      </c>
      <c r="I178">
        <v>54</v>
      </c>
      <c r="J178">
        <v>25</v>
      </c>
      <c r="K178">
        <v>51</v>
      </c>
      <c r="L178">
        <v>60</v>
      </c>
      <c r="M178">
        <v>54</v>
      </c>
      <c r="N178">
        <v>33</v>
      </c>
      <c r="O178">
        <v>68</v>
      </c>
      <c r="P178">
        <v>80</v>
      </c>
      <c r="Q178">
        <v>73</v>
      </c>
      <c r="R178">
        <v>33</v>
      </c>
      <c r="S178">
        <v>68</v>
      </c>
      <c r="T178">
        <v>80</v>
      </c>
      <c r="U178">
        <v>73</v>
      </c>
      <c r="V178">
        <v>17</v>
      </c>
      <c r="W178">
        <v>33</v>
      </c>
      <c r="X178">
        <v>40</v>
      </c>
      <c r="Y178">
        <v>35</v>
      </c>
      <c r="Z178">
        <v>17</v>
      </c>
      <c r="AA178">
        <v>33</v>
      </c>
      <c r="AB178">
        <v>40</v>
      </c>
      <c r="AC178">
        <v>35</v>
      </c>
      <c r="AD178">
        <v>15</v>
      </c>
      <c r="AE178">
        <v>29</v>
      </c>
      <c r="AF178">
        <v>35</v>
      </c>
      <c r="AG178">
        <v>30</v>
      </c>
      <c r="AH178">
        <v>15</v>
      </c>
      <c r="AI178">
        <v>29</v>
      </c>
      <c r="AJ178">
        <v>35</v>
      </c>
      <c r="AK178">
        <v>30</v>
      </c>
      <c r="AL178">
        <v>11</v>
      </c>
      <c r="AM178">
        <v>20</v>
      </c>
      <c r="AN178">
        <v>25</v>
      </c>
      <c r="AO178">
        <v>21</v>
      </c>
      <c r="AP178">
        <v>11</v>
      </c>
      <c r="AQ178">
        <v>20</v>
      </c>
      <c r="AR178">
        <v>25</v>
      </c>
      <c r="AS178">
        <v>21</v>
      </c>
    </row>
    <row r="179" spans="1:45" x14ac:dyDescent="0.2">
      <c r="A179" t="s">
        <v>887</v>
      </c>
      <c r="B179">
        <v>24</v>
      </c>
      <c r="C179">
        <v>62</v>
      </c>
      <c r="D179">
        <v>75</v>
      </c>
      <c r="E179">
        <v>6</v>
      </c>
      <c r="F179">
        <v>16</v>
      </c>
      <c r="G179">
        <v>44</v>
      </c>
      <c r="H179">
        <v>55</v>
      </c>
      <c r="I179">
        <v>47</v>
      </c>
      <c r="J179">
        <v>16</v>
      </c>
      <c r="K179">
        <v>44</v>
      </c>
      <c r="L179">
        <v>55</v>
      </c>
      <c r="M179">
        <v>47</v>
      </c>
      <c r="N179">
        <v>24</v>
      </c>
      <c r="O179">
        <v>62</v>
      </c>
      <c r="P179">
        <v>75</v>
      </c>
      <c r="Q179">
        <v>66</v>
      </c>
      <c r="R179">
        <v>24</v>
      </c>
      <c r="S179">
        <v>62</v>
      </c>
      <c r="T179">
        <v>75</v>
      </c>
      <c r="U179">
        <v>66</v>
      </c>
      <c r="V179">
        <v>8</v>
      </c>
      <c r="W179">
        <v>27</v>
      </c>
      <c r="X179">
        <v>35</v>
      </c>
      <c r="Y179">
        <v>28</v>
      </c>
      <c r="Z179">
        <v>8</v>
      </c>
      <c r="AA179">
        <v>27</v>
      </c>
      <c r="AB179">
        <v>35</v>
      </c>
      <c r="AC179">
        <v>28</v>
      </c>
      <c r="AD179">
        <v>6</v>
      </c>
      <c r="AE179">
        <v>22</v>
      </c>
      <c r="AF179">
        <v>30</v>
      </c>
      <c r="AG179">
        <v>23</v>
      </c>
      <c r="AH179">
        <v>6</v>
      </c>
      <c r="AI179">
        <v>22</v>
      </c>
      <c r="AJ179">
        <v>30</v>
      </c>
      <c r="AK179">
        <v>23</v>
      </c>
      <c r="AL179">
        <v>2</v>
      </c>
      <c r="AM179">
        <v>14</v>
      </c>
      <c r="AN179">
        <v>20</v>
      </c>
      <c r="AO179">
        <v>14</v>
      </c>
      <c r="AP179">
        <v>2</v>
      </c>
      <c r="AQ179">
        <v>14</v>
      </c>
      <c r="AR179">
        <v>20</v>
      </c>
      <c r="AS179">
        <v>14</v>
      </c>
    </row>
    <row r="180" spans="1:45" x14ac:dyDescent="0.2">
      <c r="A180" t="s">
        <v>888</v>
      </c>
      <c r="B180">
        <v>29</v>
      </c>
      <c r="C180">
        <v>67</v>
      </c>
      <c r="D180">
        <v>80</v>
      </c>
      <c r="E180">
        <v>71</v>
      </c>
      <c r="F180">
        <v>21</v>
      </c>
      <c r="G180">
        <v>49</v>
      </c>
      <c r="H180">
        <v>60</v>
      </c>
      <c r="I180">
        <v>52</v>
      </c>
      <c r="J180">
        <v>21</v>
      </c>
      <c r="K180">
        <v>49</v>
      </c>
      <c r="L180">
        <v>60</v>
      </c>
      <c r="M180">
        <v>52</v>
      </c>
      <c r="N180">
        <v>29</v>
      </c>
      <c r="O180">
        <v>67</v>
      </c>
      <c r="P180">
        <v>80</v>
      </c>
      <c r="Q180">
        <v>71</v>
      </c>
      <c r="R180">
        <v>29</v>
      </c>
      <c r="S180">
        <v>67</v>
      </c>
      <c r="T180">
        <v>80</v>
      </c>
      <c r="U180">
        <v>71</v>
      </c>
      <c r="V180">
        <v>13</v>
      </c>
      <c r="W180">
        <v>22</v>
      </c>
      <c r="X180">
        <v>40</v>
      </c>
      <c r="Y180">
        <v>33</v>
      </c>
      <c r="Z180">
        <v>13</v>
      </c>
      <c r="AA180">
        <v>22</v>
      </c>
      <c r="AB180">
        <v>40</v>
      </c>
      <c r="AC180">
        <v>33</v>
      </c>
      <c r="AD180">
        <v>11</v>
      </c>
      <c r="AE180">
        <v>27</v>
      </c>
      <c r="AF180">
        <v>35</v>
      </c>
      <c r="AG180">
        <v>28</v>
      </c>
      <c r="AH180">
        <v>11</v>
      </c>
      <c r="AI180">
        <v>27</v>
      </c>
      <c r="AJ180">
        <v>35</v>
      </c>
      <c r="AK180">
        <v>28</v>
      </c>
      <c r="AL180">
        <v>7</v>
      </c>
      <c r="AM180">
        <v>19</v>
      </c>
      <c r="AN180">
        <v>25</v>
      </c>
      <c r="AO180">
        <v>19</v>
      </c>
      <c r="AP180">
        <v>7</v>
      </c>
      <c r="AQ180">
        <v>19</v>
      </c>
      <c r="AR180">
        <v>25</v>
      </c>
      <c r="AS180">
        <v>19</v>
      </c>
    </row>
    <row r="181" spans="1:45" x14ac:dyDescent="0.2">
      <c r="A181" t="s">
        <v>889</v>
      </c>
      <c r="B181">
        <v>34</v>
      </c>
      <c r="C181">
        <v>72</v>
      </c>
      <c r="D181">
        <v>85</v>
      </c>
      <c r="E181">
        <v>76</v>
      </c>
      <c r="F181">
        <v>26</v>
      </c>
      <c r="G181">
        <v>54</v>
      </c>
      <c r="H181">
        <v>65</v>
      </c>
      <c r="I181">
        <v>57</v>
      </c>
      <c r="J181">
        <v>26</v>
      </c>
      <c r="K181">
        <v>54</v>
      </c>
      <c r="L181">
        <v>65</v>
      </c>
      <c r="M181">
        <v>57</v>
      </c>
      <c r="N181">
        <v>34</v>
      </c>
      <c r="O181">
        <v>72</v>
      </c>
      <c r="P181">
        <v>85</v>
      </c>
      <c r="Q181">
        <v>76</v>
      </c>
      <c r="R181">
        <v>34</v>
      </c>
      <c r="S181">
        <v>72</v>
      </c>
      <c r="T181">
        <v>85</v>
      </c>
      <c r="U181">
        <v>76</v>
      </c>
      <c r="V181">
        <v>18</v>
      </c>
      <c r="W181">
        <v>37</v>
      </c>
      <c r="X181">
        <v>45</v>
      </c>
      <c r="Y181">
        <v>38</v>
      </c>
      <c r="Z181">
        <v>18</v>
      </c>
      <c r="AA181">
        <v>37</v>
      </c>
      <c r="AB181">
        <v>45</v>
      </c>
      <c r="AC181">
        <v>38</v>
      </c>
      <c r="AD181">
        <v>16</v>
      </c>
      <c r="AE181">
        <v>32</v>
      </c>
      <c r="AF181">
        <v>40</v>
      </c>
      <c r="AG181">
        <v>33</v>
      </c>
      <c r="AH181">
        <v>16</v>
      </c>
      <c r="AI181">
        <v>32</v>
      </c>
      <c r="AJ181">
        <v>40</v>
      </c>
      <c r="AK181">
        <v>33</v>
      </c>
      <c r="AL181">
        <v>12</v>
      </c>
      <c r="AM181">
        <v>24</v>
      </c>
      <c r="AN181">
        <v>30</v>
      </c>
      <c r="AO181">
        <v>24</v>
      </c>
      <c r="AP181">
        <v>12</v>
      </c>
      <c r="AQ181">
        <v>24</v>
      </c>
      <c r="AR181">
        <v>30</v>
      </c>
      <c r="AS181">
        <v>24</v>
      </c>
    </row>
    <row r="182" spans="1:45" ht="13.5" thickBot="1" x14ac:dyDescent="0.25"/>
    <row r="183" spans="1:45" ht="13.5" thickBot="1" x14ac:dyDescent="0.25">
      <c r="A183" s="1013">
        <f>VLOOKUP('Form N1'!P7,KW!A49:D52,4)</f>
        <v>3</v>
      </c>
      <c r="B183">
        <v>9</v>
      </c>
      <c r="C183">
        <v>12</v>
      </c>
      <c r="D183">
        <v>15</v>
      </c>
      <c r="E183">
        <v>18</v>
      </c>
      <c r="G183" t="str">
        <f>D121</f>
        <v>30H</v>
      </c>
    </row>
    <row r="184" spans="1:45" x14ac:dyDescent="0.2">
      <c r="A184" t="s">
        <v>1520</v>
      </c>
      <c r="B184">
        <f t="shared" ref="B184:B189" si="13">H184</f>
        <v>29</v>
      </c>
      <c r="C184">
        <f t="shared" ref="C184:C189" si="14">J184</f>
        <v>67</v>
      </c>
      <c r="D184">
        <f t="shared" ref="D184:D189" si="15">L184</f>
        <v>80</v>
      </c>
      <c r="E184">
        <f t="shared" ref="E184:E189" si="16">N184</f>
        <v>71</v>
      </c>
      <c r="G184" t="str">
        <f t="shared" ref="G184:G189" si="17">A184&amp;$B$183</f>
        <v>16A9</v>
      </c>
      <c r="H184">
        <f t="shared" ref="H184:H189" si="18">INDEX($A$169:$AS$181,MATCH($G$183,$A$169:$A$181),MATCH(G184,$A$169:$AS$169,FALSE))</f>
        <v>29</v>
      </c>
      <c r="I184" t="str">
        <f t="shared" ref="I184:I189" si="19">A184&amp;$C$183</f>
        <v>16A12</v>
      </c>
      <c r="J184">
        <f t="shared" ref="J184:J189" si="20">INDEX($A$169:$AS$181,MATCH($G$183,$A$169:$A$181),MATCH(I184,$A$169:$AS$169,FALSE))</f>
        <v>67</v>
      </c>
      <c r="K184" t="str">
        <f t="shared" ref="K184:K189" si="21">A184&amp;$D$183</f>
        <v>16A15</v>
      </c>
      <c r="L184">
        <f t="shared" ref="L184:L189" si="22">INDEX($A$169:$AS$181,MATCH($G$183,$A$169:$A$181),MATCH(K184,$A$169:$AS$169,FALSE))</f>
        <v>80</v>
      </c>
      <c r="M184" t="str">
        <f t="shared" ref="M184:M189" si="23">A184&amp;$E$183</f>
        <v>16A18</v>
      </c>
      <c r="N184">
        <f t="shared" ref="N184:N189" si="24">INDEX($A$169:$AS$181,MATCH($G$183,$A$169:$A$181),MATCH(M184,$A$169:$AS$169,FALSE))</f>
        <v>71</v>
      </c>
    </row>
    <row r="185" spans="1:45" x14ac:dyDescent="0.2">
      <c r="A185" t="s">
        <v>1521</v>
      </c>
      <c r="B185">
        <f t="shared" si="13"/>
        <v>21</v>
      </c>
      <c r="C185">
        <f t="shared" si="14"/>
        <v>49</v>
      </c>
      <c r="D185">
        <f t="shared" si="15"/>
        <v>60</v>
      </c>
      <c r="E185">
        <f t="shared" si="16"/>
        <v>52</v>
      </c>
      <c r="G185" t="str">
        <f t="shared" si="17"/>
        <v>16B9</v>
      </c>
      <c r="H185">
        <f t="shared" si="18"/>
        <v>21</v>
      </c>
      <c r="I185" t="str">
        <f t="shared" si="19"/>
        <v>16B12</v>
      </c>
      <c r="J185">
        <f t="shared" si="20"/>
        <v>49</v>
      </c>
      <c r="K185" t="str">
        <f t="shared" si="21"/>
        <v>16B15</v>
      </c>
      <c r="L185">
        <f t="shared" si="22"/>
        <v>60</v>
      </c>
      <c r="M185" t="str">
        <f t="shared" si="23"/>
        <v>16B18</v>
      </c>
      <c r="N185">
        <f t="shared" si="24"/>
        <v>52</v>
      </c>
    </row>
    <row r="186" spans="1:45" x14ac:dyDescent="0.2">
      <c r="A186" t="s">
        <v>1522</v>
      </c>
      <c r="B186">
        <f t="shared" si="13"/>
        <v>29</v>
      </c>
      <c r="C186">
        <f t="shared" si="14"/>
        <v>67</v>
      </c>
      <c r="D186">
        <f t="shared" si="15"/>
        <v>80</v>
      </c>
      <c r="E186">
        <f t="shared" si="16"/>
        <v>71</v>
      </c>
      <c r="G186" t="str">
        <f t="shared" si="17"/>
        <v>16C9</v>
      </c>
      <c r="H186">
        <f t="shared" si="18"/>
        <v>29</v>
      </c>
      <c r="I186" t="str">
        <f t="shared" si="19"/>
        <v>16C12</v>
      </c>
      <c r="J186">
        <f t="shared" si="20"/>
        <v>67</v>
      </c>
      <c r="K186" t="str">
        <f t="shared" si="21"/>
        <v>16C15</v>
      </c>
      <c r="L186">
        <f t="shared" si="22"/>
        <v>80</v>
      </c>
      <c r="M186" t="str">
        <f t="shared" si="23"/>
        <v>16C18</v>
      </c>
      <c r="N186">
        <f t="shared" si="24"/>
        <v>71</v>
      </c>
    </row>
    <row r="187" spans="1:45" x14ac:dyDescent="0.2">
      <c r="A187" t="s">
        <v>1523</v>
      </c>
      <c r="B187">
        <f t="shared" si="13"/>
        <v>13</v>
      </c>
      <c r="C187">
        <f t="shared" si="14"/>
        <v>22</v>
      </c>
      <c r="D187">
        <f t="shared" si="15"/>
        <v>40</v>
      </c>
      <c r="E187">
        <f t="shared" si="16"/>
        <v>33</v>
      </c>
      <c r="G187" t="str">
        <f t="shared" si="17"/>
        <v>16D9</v>
      </c>
      <c r="H187">
        <f t="shared" si="18"/>
        <v>13</v>
      </c>
      <c r="I187" t="str">
        <f t="shared" si="19"/>
        <v>16D12</v>
      </c>
      <c r="J187">
        <f t="shared" si="20"/>
        <v>22</v>
      </c>
      <c r="K187" t="str">
        <f t="shared" si="21"/>
        <v>16D15</v>
      </c>
      <c r="L187">
        <f t="shared" si="22"/>
        <v>40</v>
      </c>
      <c r="M187" t="str">
        <f t="shared" si="23"/>
        <v>16D18</v>
      </c>
      <c r="N187">
        <f t="shared" si="24"/>
        <v>33</v>
      </c>
    </row>
    <row r="188" spans="1:45" x14ac:dyDescent="0.2">
      <c r="A188" t="s">
        <v>1524</v>
      </c>
      <c r="B188">
        <f t="shared" si="13"/>
        <v>11</v>
      </c>
      <c r="C188">
        <f t="shared" si="14"/>
        <v>27</v>
      </c>
      <c r="D188">
        <f t="shared" si="15"/>
        <v>35</v>
      </c>
      <c r="E188">
        <f t="shared" si="16"/>
        <v>28</v>
      </c>
      <c r="G188" t="str">
        <f t="shared" si="17"/>
        <v>16E9</v>
      </c>
      <c r="H188">
        <f t="shared" si="18"/>
        <v>11</v>
      </c>
      <c r="I188" t="str">
        <f t="shared" si="19"/>
        <v>16E12</v>
      </c>
      <c r="J188">
        <f t="shared" si="20"/>
        <v>27</v>
      </c>
      <c r="K188" t="str">
        <f t="shared" si="21"/>
        <v>16E15</v>
      </c>
      <c r="L188">
        <f t="shared" si="22"/>
        <v>35</v>
      </c>
      <c r="M188" t="str">
        <f t="shared" si="23"/>
        <v>16E18</v>
      </c>
      <c r="N188">
        <f t="shared" si="24"/>
        <v>28</v>
      </c>
    </row>
    <row r="189" spans="1:45" x14ac:dyDescent="0.2">
      <c r="A189" t="s">
        <v>1525</v>
      </c>
      <c r="B189">
        <f t="shared" si="13"/>
        <v>7</v>
      </c>
      <c r="C189">
        <f t="shared" si="14"/>
        <v>19</v>
      </c>
      <c r="D189">
        <f t="shared" si="15"/>
        <v>25</v>
      </c>
      <c r="E189">
        <f t="shared" si="16"/>
        <v>19</v>
      </c>
      <c r="G189" t="str">
        <f t="shared" si="17"/>
        <v>16F9</v>
      </c>
      <c r="H189">
        <f t="shared" si="18"/>
        <v>7</v>
      </c>
      <c r="I189" t="str">
        <f t="shared" si="19"/>
        <v>16F12</v>
      </c>
      <c r="J189">
        <f t="shared" si="20"/>
        <v>19</v>
      </c>
      <c r="K189" t="str">
        <f t="shared" si="21"/>
        <v>16F15</v>
      </c>
      <c r="L189">
        <f t="shared" si="22"/>
        <v>25</v>
      </c>
      <c r="M189" t="str">
        <f t="shared" si="23"/>
        <v>16F18</v>
      </c>
      <c r="N189">
        <f t="shared" si="24"/>
        <v>19</v>
      </c>
    </row>
    <row r="190" spans="1:45" x14ac:dyDescent="0.2">
      <c r="A190" t="s">
        <v>2698</v>
      </c>
      <c r="B190">
        <v>31</v>
      </c>
      <c r="C190">
        <v>62</v>
      </c>
      <c r="D190">
        <v>67</v>
      </c>
      <c r="E190">
        <v>40</v>
      </c>
    </row>
    <row r="191" spans="1:45" x14ac:dyDescent="0.2">
      <c r="A191" t="s">
        <v>2699</v>
      </c>
      <c r="B191">
        <v>15</v>
      </c>
      <c r="C191">
        <v>46</v>
      </c>
      <c r="D191">
        <v>64</v>
      </c>
      <c r="E191">
        <v>54</v>
      </c>
    </row>
    <row r="192" spans="1:45" x14ac:dyDescent="0.2">
      <c r="A192" t="s">
        <v>2700</v>
      </c>
      <c r="B192">
        <v>10</v>
      </c>
      <c r="C192">
        <v>40</v>
      </c>
      <c r="D192">
        <v>61</v>
      </c>
      <c r="E192">
        <v>58</v>
      </c>
    </row>
    <row r="193" spans="1:5" x14ac:dyDescent="0.2">
      <c r="A193" t="s">
        <v>2701</v>
      </c>
      <c r="B193">
        <v>12</v>
      </c>
      <c r="C193">
        <v>37</v>
      </c>
      <c r="D193">
        <v>57</v>
      </c>
      <c r="E193">
        <v>54</v>
      </c>
    </row>
    <row r="194" spans="1:5" x14ac:dyDescent="0.2">
      <c r="A194" t="s">
        <v>2702</v>
      </c>
      <c r="B194">
        <v>7</v>
      </c>
      <c r="C194">
        <v>35</v>
      </c>
      <c r="D194">
        <v>55</v>
      </c>
      <c r="E194">
        <v>50</v>
      </c>
    </row>
    <row r="195" spans="1:5" x14ac:dyDescent="0.2">
      <c r="A195" t="s">
        <v>2703</v>
      </c>
      <c r="B195">
        <v>8</v>
      </c>
      <c r="C195">
        <v>27</v>
      </c>
      <c r="D195">
        <v>47</v>
      </c>
      <c r="E195">
        <v>49</v>
      </c>
    </row>
    <row r="196" spans="1:5" x14ac:dyDescent="0.2">
      <c r="A196" t="s">
        <v>2704</v>
      </c>
      <c r="B196">
        <v>5</v>
      </c>
      <c r="C196">
        <v>22</v>
      </c>
      <c r="D196">
        <v>45</v>
      </c>
      <c r="E196">
        <v>56</v>
      </c>
    </row>
    <row r="197" spans="1:5" x14ac:dyDescent="0.2">
      <c r="A197" t="s">
        <v>2705</v>
      </c>
      <c r="B197">
        <v>8</v>
      </c>
      <c r="C197">
        <v>20</v>
      </c>
      <c r="D197">
        <v>38</v>
      </c>
      <c r="E197">
        <v>49</v>
      </c>
    </row>
    <row r="198" spans="1:5" x14ac:dyDescent="0.2">
      <c r="A198" t="s">
        <v>2706</v>
      </c>
      <c r="B198">
        <v>9</v>
      </c>
      <c r="C198">
        <v>18</v>
      </c>
      <c r="D198">
        <v>35</v>
      </c>
      <c r="E198">
        <v>46</v>
      </c>
    </row>
    <row r="199" spans="1:5" x14ac:dyDescent="0.2">
      <c r="A199" t="s">
        <v>2707</v>
      </c>
      <c r="B199">
        <v>9</v>
      </c>
      <c r="C199">
        <v>14</v>
      </c>
      <c r="D199">
        <v>30</v>
      </c>
      <c r="E199">
        <v>45</v>
      </c>
    </row>
    <row r="200" spans="1:5" x14ac:dyDescent="0.2">
      <c r="A200" t="s">
        <v>2708</v>
      </c>
      <c r="B200">
        <v>11</v>
      </c>
      <c r="C200">
        <v>25</v>
      </c>
      <c r="D200">
        <v>41</v>
      </c>
      <c r="E200">
        <v>47</v>
      </c>
    </row>
    <row r="201" spans="1:5" x14ac:dyDescent="0.2">
      <c r="A201" t="s">
        <v>2709</v>
      </c>
      <c r="B201">
        <v>10</v>
      </c>
      <c r="C201">
        <v>17</v>
      </c>
      <c r="D201">
        <v>33</v>
      </c>
      <c r="E201">
        <v>44</v>
      </c>
    </row>
    <row r="202" spans="1:5" x14ac:dyDescent="0.2">
      <c r="A202" t="s">
        <v>2710</v>
      </c>
      <c r="B202">
        <v>15</v>
      </c>
      <c r="C202">
        <v>21</v>
      </c>
      <c r="D202">
        <v>33</v>
      </c>
      <c r="E202">
        <v>40</v>
      </c>
    </row>
    <row r="203" spans="1:5" x14ac:dyDescent="0.2">
      <c r="A203" t="s">
        <v>2711</v>
      </c>
      <c r="B203">
        <v>18</v>
      </c>
      <c r="C203">
        <v>17</v>
      </c>
      <c r="D203">
        <v>25</v>
      </c>
      <c r="E203">
        <v>33</v>
      </c>
    </row>
    <row r="204" spans="1:5" x14ac:dyDescent="0.2">
      <c r="A204" t="s">
        <v>2712</v>
      </c>
      <c r="B204">
        <v>22</v>
      </c>
      <c r="C204">
        <v>54</v>
      </c>
      <c r="D204">
        <v>68</v>
      </c>
      <c r="E204">
        <v>49</v>
      </c>
    </row>
    <row r="205" spans="1:5" x14ac:dyDescent="0.2">
      <c r="A205" t="s">
        <v>2713</v>
      </c>
      <c r="B205">
        <v>9</v>
      </c>
      <c r="C205">
        <v>28</v>
      </c>
      <c r="D205">
        <v>49</v>
      </c>
      <c r="E205">
        <v>54</v>
      </c>
    </row>
    <row r="206" spans="1:5" x14ac:dyDescent="0.2">
      <c r="A206" t="s">
        <v>2714</v>
      </c>
      <c r="B206">
        <v>16</v>
      </c>
      <c r="C206">
        <v>27</v>
      </c>
      <c r="D206">
        <v>49</v>
      </c>
      <c r="E206">
        <v>56</v>
      </c>
    </row>
    <row r="207" spans="1:5" x14ac:dyDescent="0.2">
      <c r="A207" t="s">
        <v>2715</v>
      </c>
      <c r="B207">
        <v>15</v>
      </c>
      <c r="C207">
        <v>24</v>
      </c>
      <c r="D207">
        <v>35</v>
      </c>
      <c r="E207">
        <v>42</v>
      </c>
    </row>
    <row r="208" spans="1:5" x14ac:dyDescent="0.2">
      <c r="A208" t="s">
        <v>2716</v>
      </c>
      <c r="B208">
        <v>9</v>
      </c>
      <c r="C208">
        <v>24</v>
      </c>
      <c r="D208">
        <v>43</v>
      </c>
      <c r="E208">
        <v>50</v>
      </c>
    </row>
    <row r="209" spans="1:5" x14ac:dyDescent="0.2">
      <c r="A209" t="s">
        <v>2717</v>
      </c>
      <c r="B209">
        <v>12</v>
      </c>
      <c r="C209">
        <v>21</v>
      </c>
      <c r="D209">
        <v>35</v>
      </c>
      <c r="E209">
        <v>44</v>
      </c>
    </row>
    <row r="210" spans="1:5" x14ac:dyDescent="0.2">
      <c r="A210" t="s">
        <v>2718</v>
      </c>
      <c r="B210">
        <v>9</v>
      </c>
      <c r="C210">
        <v>16</v>
      </c>
      <c r="D210">
        <v>33</v>
      </c>
      <c r="E210">
        <v>46</v>
      </c>
    </row>
    <row r="211" spans="1:5" x14ac:dyDescent="0.2">
      <c r="A211" t="s">
        <v>2719</v>
      </c>
      <c r="B211">
        <v>15</v>
      </c>
      <c r="C211">
        <v>18</v>
      </c>
      <c r="D211">
        <v>28</v>
      </c>
      <c r="E211">
        <v>37</v>
      </c>
    </row>
    <row r="212" spans="1:5" x14ac:dyDescent="0.2">
      <c r="A212" t="s">
        <v>2720</v>
      </c>
      <c r="B212">
        <v>17</v>
      </c>
      <c r="C212">
        <v>19</v>
      </c>
      <c r="D212">
        <v>27</v>
      </c>
      <c r="E212">
        <v>36</v>
      </c>
    </row>
    <row r="213" spans="1:5" x14ac:dyDescent="0.2">
      <c r="A213" t="s">
        <v>2721</v>
      </c>
      <c r="B213">
        <v>15</v>
      </c>
      <c r="C213">
        <v>15</v>
      </c>
      <c r="D213">
        <v>24</v>
      </c>
      <c r="E213">
        <v>35</v>
      </c>
    </row>
    <row r="214" spans="1:5" x14ac:dyDescent="0.2">
      <c r="A214" t="s">
        <v>2722</v>
      </c>
      <c r="B214">
        <v>20</v>
      </c>
      <c r="C214">
        <v>23</v>
      </c>
      <c r="D214">
        <v>20</v>
      </c>
      <c r="E214">
        <v>35</v>
      </c>
    </row>
    <row r="215" spans="1:5" x14ac:dyDescent="0.2">
      <c r="A215" t="s">
        <v>2723</v>
      </c>
      <c r="B215">
        <v>18</v>
      </c>
      <c r="C215">
        <v>20</v>
      </c>
      <c r="D215">
        <v>36</v>
      </c>
      <c r="E215">
        <v>35</v>
      </c>
    </row>
    <row r="216" spans="1:5" x14ac:dyDescent="0.2">
      <c r="A216" t="s">
        <v>2724</v>
      </c>
      <c r="B216">
        <v>20</v>
      </c>
      <c r="C216">
        <v>22</v>
      </c>
      <c r="D216">
        <v>26</v>
      </c>
      <c r="E216">
        <v>30</v>
      </c>
    </row>
    <row r="217" spans="1:5" x14ac:dyDescent="0.2">
      <c r="A217" t="s">
        <v>2725</v>
      </c>
      <c r="B217">
        <v>23</v>
      </c>
      <c r="C217">
        <v>20</v>
      </c>
      <c r="D217">
        <v>23</v>
      </c>
      <c r="E217">
        <v>28</v>
      </c>
    </row>
    <row r="218" spans="1:5" x14ac:dyDescent="0.2">
      <c r="A218" t="s">
        <v>1505</v>
      </c>
      <c r="B218">
        <v>9</v>
      </c>
      <c r="C218">
        <v>28</v>
      </c>
      <c r="D218">
        <v>49</v>
      </c>
      <c r="E218">
        <v>54</v>
      </c>
    </row>
    <row r="219" spans="1:5" x14ac:dyDescent="0.2">
      <c r="A219" t="s">
        <v>1506</v>
      </c>
      <c r="B219">
        <v>9</v>
      </c>
      <c r="C219">
        <v>24</v>
      </c>
      <c r="D219">
        <v>43</v>
      </c>
      <c r="E219">
        <v>50</v>
      </c>
    </row>
    <row r="220" spans="1:5" x14ac:dyDescent="0.2">
      <c r="A220" t="s">
        <v>1507</v>
      </c>
      <c r="B220">
        <v>12</v>
      </c>
      <c r="C220">
        <v>21</v>
      </c>
      <c r="D220">
        <v>35</v>
      </c>
      <c r="E220">
        <v>44</v>
      </c>
    </row>
    <row r="221" spans="1:5" x14ac:dyDescent="0.2">
      <c r="A221" t="s">
        <v>1508</v>
      </c>
      <c r="B221">
        <v>15</v>
      </c>
      <c r="C221">
        <v>18</v>
      </c>
      <c r="D221">
        <v>28</v>
      </c>
      <c r="E221">
        <v>37</v>
      </c>
    </row>
    <row r="222" spans="1:5" x14ac:dyDescent="0.2">
      <c r="A222" t="s">
        <v>1509</v>
      </c>
      <c r="B222">
        <v>18</v>
      </c>
      <c r="C222">
        <v>20</v>
      </c>
      <c r="D222">
        <v>26</v>
      </c>
      <c r="E222">
        <v>35</v>
      </c>
    </row>
    <row r="223" spans="1:5" x14ac:dyDescent="0.2">
      <c r="A223" t="s">
        <v>1510</v>
      </c>
      <c r="B223">
        <v>23</v>
      </c>
      <c r="C223">
        <v>20</v>
      </c>
      <c r="D223">
        <v>23</v>
      </c>
      <c r="E223">
        <v>28</v>
      </c>
    </row>
    <row r="224" spans="1:5" x14ac:dyDescent="0.2">
      <c r="A224" s="1009" t="s">
        <v>1518</v>
      </c>
    </row>
    <row r="225" spans="1:10" x14ac:dyDescent="0.2">
      <c r="A225" t="s">
        <v>1511</v>
      </c>
      <c r="B225">
        <v>2</v>
      </c>
      <c r="C225">
        <v>7</v>
      </c>
      <c r="D225">
        <v>15</v>
      </c>
      <c r="E225">
        <v>20</v>
      </c>
    </row>
    <row r="226" spans="1:10" x14ac:dyDescent="0.2">
      <c r="A226" t="s">
        <v>1512</v>
      </c>
      <c r="B226">
        <v>0</v>
      </c>
      <c r="C226">
        <v>6</v>
      </c>
      <c r="D226">
        <v>15</v>
      </c>
      <c r="E226">
        <v>20</v>
      </c>
    </row>
    <row r="227" spans="1:10" x14ac:dyDescent="0.2">
      <c r="A227" t="s">
        <v>1513</v>
      </c>
      <c r="B227">
        <v>2</v>
      </c>
      <c r="C227">
        <v>4</v>
      </c>
      <c r="D227">
        <v>12</v>
      </c>
      <c r="E227">
        <v>18</v>
      </c>
    </row>
    <row r="228" spans="1:10" x14ac:dyDescent="0.2">
      <c r="A228" t="s">
        <v>1514</v>
      </c>
      <c r="B228">
        <v>2</v>
      </c>
      <c r="C228">
        <v>0</v>
      </c>
      <c r="D228">
        <v>7</v>
      </c>
      <c r="E228">
        <v>16</v>
      </c>
    </row>
    <row r="229" spans="1:10" x14ac:dyDescent="0.2">
      <c r="A229" t="s">
        <v>1515</v>
      </c>
      <c r="B229">
        <v>5</v>
      </c>
      <c r="C229">
        <v>0</v>
      </c>
      <c r="D229">
        <v>2</v>
      </c>
      <c r="E229">
        <v>10</v>
      </c>
    </row>
    <row r="230" spans="1:10" x14ac:dyDescent="0.2">
      <c r="A230" t="s">
        <v>1516</v>
      </c>
      <c r="B230">
        <v>6</v>
      </c>
      <c r="C230">
        <v>2</v>
      </c>
      <c r="D230">
        <v>3</v>
      </c>
      <c r="E230">
        <v>10</v>
      </c>
    </row>
    <row r="231" spans="1:10" x14ac:dyDescent="0.2">
      <c r="A231" t="s">
        <v>1517</v>
      </c>
      <c r="B231">
        <v>9</v>
      </c>
      <c r="C231">
        <v>3</v>
      </c>
      <c r="D231">
        <v>2</v>
      </c>
      <c r="E231">
        <v>6</v>
      </c>
    </row>
    <row r="234" spans="1:10" x14ac:dyDescent="0.2">
      <c r="G234" t="s">
        <v>456</v>
      </c>
      <c r="H234" t="s">
        <v>457</v>
      </c>
      <c r="I234" s="1024">
        <f>'Wrk D'!G60</f>
        <v>0</v>
      </c>
    </row>
    <row r="235" spans="1:10" x14ac:dyDescent="0.2">
      <c r="A235" t="s">
        <v>454</v>
      </c>
      <c r="B235" t="s">
        <v>1228</v>
      </c>
      <c r="C235" s="983" t="str">
        <f>VLOOKUP(InfiltrationI!F4,KW!A235:B236,2)</f>
        <v>5D</v>
      </c>
      <c r="D235" t="s">
        <v>453</v>
      </c>
      <c r="E235">
        <v>1</v>
      </c>
      <c r="F235" s="983">
        <f>VLOOKUP(InfiltrationI!B4,KW!D235:E236,2,FALSE)</f>
        <v>1</v>
      </c>
      <c r="G235">
        <v>0</v>
      </c>
      <c r="H235">
        <v>1</v>
      </c>
      <c r="I235" s="983">
        <f>VLOOKUP(I234,G235:H239,2)</f>
        <v>1</v>
      </c>
      <c r="J235" t="s">
        <v>833</v>
      </c>
    </row>
    <row r="236" spans="1:10" x14ac:dyDescent="0.2">
      <c r="A236" t="s">
        <v>455</v>
      </c>
      <c r="B236" t="s">
        <v>69</v>
      </c>
      <c r="D236" t="s">
        <v>1252</v>
      </c>
      <c r="E236">
        <v>2</v>
      </c>
      <c r="G236">
        <v>1001</v>
      </c>
      <c r="H236">
        <v>2</v>
      </c>
      <c r="J236" t="s">
        <v>1229</v>
      </c>
    </row>
    <row r="237" spans="1:10" x14ac:dyDescent="0.2">
      <c r="G237">
        <v>5001</v>
      </c>
      <c r="H237">
        <v>3</v>
      </c>
      <c r="J237" t="s">
        <v>1302</v>
      </c>
    </row>
    <row r="238" spans="1:10" x14ac:dyDescent="0.2">
      <c r="G238">
        <v>10001</v>
      </c>
      <c r="H238">
        <v>4</v>
      </c>
      <c r="J238" t="s">
        <v>1230</v>
      </c>
    </row>
    <row r="239" spans="1:10" x14ac:dyDescent="0.2">
      <c r="C239" t="s">
        <v>1253</v>
      </c>
      <c r="D239" t="s">
        <v>1254</v>
      </c>
      <c r="G239">
        <v>15000</v>
      </c>
      <c r="H239">
        <v>5</v>
      </c>
      <c r="J239" t="s">
        <v>1231</v>
      </c>
    </row>
    <row r="240" spans="1:10" x14ac:dyDescent="0.2">
      <c r="A240" s="983" t="str">
        <f>InfiltrationI!K4</f>
        <v>Average</v>
      </c>
      <c r="B240" s="983" t="str">
        <f>C235&amp;F235&amp;I235</f>
        <v>5D11</v>
      </c>
      <c r="C240" s="983">
        <f>INDEX(A243:U248,MATCH(A240,A243:A248),MATCH(B240,A243:U243))</f>
        <v>0.91</v>
      </c>
      <c r="D240" s="983">
        <f>INDEX(A250:U255,MATCH(A240,A250:A255),MATCH(B240,A250:U250))</f>
        <v>0.48</v>
      </c>
    </row>
    <row r="243" spans="1:21" x14ac:dyDescent="0.2">
      <c r="B243" t="s">
        <v>1232</v>
      </c>
      <c r="C243" t="s">
        <v>1233</v>
      </c>
      <c r="D243" t="s">
        <v>1234</v>
      </c>
      <c r="E243" t="s">
        <v>1235</v>
      </c>
      <c r="F243" t="s">
        <v>1236</v>
      </c>
      <c r="G243" t="s">
        <v>1237</v>
      </c>
      <c r="H243" t="s">
        <v>1238</v>
      </c>
      <c r="I243" t="s">
        <v>1239</v>
      </c>
      <c r="J243" t="s">
        <v>1240</v>
      </c>
      <c r="K243" t="s">
        <v>1241</v>
      </c>
      <c r="L243" t="s">
        <v>1242</v>
      </c>
      <c r="M243" t="s">
        <v>1243</v>
      </c>
      <c r="N243" t="s">
        <v>1244</v>
      </c>
      <c r="O243" t="s">
        <v>1245</v>
      </c>
      <c r="P243" t="s">
        <v>1246</v>
      </c>
      <c r="Q243" t="s">
        <v>1247</v>
      </c>
      <c r="R243" t="s">
        <v>1248</v>
      </c>
      <c r="S243" t="s">
        <v>1249</v>
      </c>
      <c r="T243" t="s">
        <v>1250</v>
      </c>
      <c r="U243" t="s">
        <v>1251</v>
      </c>
    </row>
    <row r="244" spans="1:21" x14ac:dyDescent="0.2">
      <c r="A244" t="str">
        <f>J237</f>
        <v>Average</v>
      </c>
      <c r="B244">
        <v>1.31</v>
      </c>
      <c r="C244">
        <v>0.81</v>
      </c>
      <c r="D244">
        <v>0.59</v>
      </c>
      <c r="E244">
        <v>0.49</v>
      </c>
      <c r="F244">
        <v>0.42</v>
      </c>
      <c r="G244">
        <v>2.0499999999999998</v>
      </c>
      <c r="H244">
        <v>1.04</v>
      </c>
      <c r="I244">
        <v>0.65</v>
      </c>
      <c r="J244">
        <v>0.52</v>
      </c>
      <c r="K244">
        <v>0.3</v>
      </c>
      <c r="L244">
        <v>0.91</v>
      </c>
      <c r="M244">
        <v>0.62</v>
      </c>
      <c r="N244">
        <v>0.49</v>
      </c>
      <c r="O244">
        <v>0.42</v>
      </c>
      <c r="P244">
        <v>0.36</v>
      </c>
      <c r="Q244">
        <v>1.18</v>
      </c>
      <c r="R244">
        <v>0.65</v>
      </c>
      <c r="S244">
        <v>0.44</v>
      </c>
      <c r="T244">
        <v>0.35</v>
      </c>
      <c r="U244">
        <v>0.28999999999999998</v>
      </c>
    </row>
    <row r="245" spans="1:21" x14ac:dyDescent="0.2">
      <c r="A245" t="str">
        <f>J239</f>
        <v>Loose</v>
      </c>
      <c r="B245">
        <v>2.25</v>
      </c>
      <c r="C245">
        <v>1.38</v>
      </c>
      <c r="D245">
        <v>1</v>
      </c>
      <c r="E245">
        <v>0.84</v>
      </c>
      <c r="F245">
        <v>0.71</v>
      </c>
      <c r="G245">
        <v>3.52</v>
      </c>
      <c r="H245">
        <v>1.79</v>
      </c>
      <c r="I245">
        <v>1.1200000000000001</v>
      </c>
      <c r="J245">
        <v>0.89</v>
      </c>
      <c r="K245">
        <v>0.52</v>
      </c>
      <c r="L245">
        <v>1.57</v>
      </c>
      <c r="M245">
        <v>1.07</v>
      </c>
      <c r="N245">
        <v>0.83</v>
      </c>
      <c r="O245">
        <v>0.72</v>
      </c>
      <c r="P245">
        <v>0.61</v>
      </c>
      <c r="Q245">
        <v>2.02</v>
      </c>
      <c r="R245">
        <v>1.1200000000000001</v>
      </c>
      <c r="S245">
        <v>0.75</v>
      </c>
      <c r="T245">
        <v>0.6</v>
      </c>
      <c r="U245">
        <v>0.49</v>
      </c>
    </row>
    <row r="246" spans="1:21" x14ac:dyDescent="0.2">
      <c r="A246" t="str">
        <f>J238</f>
        <v>Semi-Loose</v>
      </c>
      <c r="B246">
        <v>1.76</v>
      </c>
      <c r="C246">
        <v>1.1000000000000001</v>
      </c>
      <c r="D246">
        <v>0.79</v>
      </c>
      <c r="E246">
        <v>0.66</v>
      </c>
      <c r="F246">
        <v>0.56000000000000005</v>
      </c>
      <c r="G246">
        <v>2.79</v>
      </c>
      <c r="H246">
        <v>1.42</v>
      </c>
      <c r="I246">
        <v>0.89</v>
      </c>
      <c r="J246">
        <v>0.7</v>
      </c>
      <c r="K246">
        <v>0.41</v>
      </c>
      <c r="L246">
        <v>1.24</v>
      </c>
      <c r="M246">
        <v>0.85</v>
      </c>
      <c r="N246">
        <v>0.66</v>
      </c>
      <c r="O246">
        <v>0.56999999999999995</v>
      </c>
      <c r="P246">
        <v>0.49</v>
      </c>
      <c r="Q246">
        <v>1.6</v>
      </c>
      <c r="R246">
        <v>0.89</v>
      </c>
      <c r="S246">
        <v>0.59</v>
      </c>
      <c r="T246">
        <v>0.48</v>
      </c>
      <c r="U246">
        <v>0.39</v>
      </c>
    </row>
    <row r="247" spans="1:21" x14ac:dyDescent="0.2">
      <c r="A247" t="str">
        <f>J236</f>
        <v>Semi-Tight</v>
      </c>
      <c r="B247">
        <v>0.84</v>
      </c>
      <c r="C247">
        <v>0.52</v>
      </c>
      <c r="D247">
        <v>0.38</v>
      </c>
      <c r="E247">
        <v>0.31</v>
      </c>
      <c r="F247">
        <v>0.27</v>
      </c>
      <c r="G247">
        <v>1.32</v>
      </c>
      <c r="H247">
        <v>0.67</v>
      </c>
      <c r="I247">
        <v>0.42</v>
      </c>
      <c r="J247">
        <v>0.33</v>
      </c>
      <c r="K247">
        <v>0.2</v>
      </c>
      <c r="L247">
        <v>0.59</v>
      </c>
      <c r="M247">
        <v>0.4</v>
      </c>
      <c r="N247">
        <v>0.31</v>
      </c>
      <c r="O247">
        <v>0.27</v>
      </c>
      <c r="P247">
        <v>0.23</v>
      </c>
      <c r="Q247">
        <v>0.76</v>
      </c>
      <c r="R247">
        <v>0.42</v>
      </c>
      <c r="S247">
        <v>0.28000000000000003</v>
      </c>
      <c r="T247">
        <v>0.23</v>
      </c>
      <c r="U247">
        <v>0.18</v>
      </c>
    </row>
    <row r="248" spans="1:21" x14ac:dyDescent="0.2">
      <c r="A248" t="str">
        <f>J235</f>
        <v>Tight</v>
      </c>
      <c r="B248">
        <v>0.37</v>
      </c>
      <c r="C248">
        <v>0.23</v>
      </c>
      <c r="D248">
        <v>0.17</v>
      </c>
      <c r="E248">
        <v>0.14000000000000001</v>
      </c>
      <c r="F248">
        <v>0.12</v>
      </c>
      <c r="G248">
        <v>0.59</v>
      </c>
      <c r="H248">
        <v>0.3</v>
      </c>
      <c r="I248">
        <v>0.19</v>
      </c>
      <c r="J248">
        <v>0.15</v>
      </c>
      <c r="K248">
        <v>0.09</v>
      </c>
      <c r="L248">
        <v>0.26</v>
      </c>
      <c r="M248">
        <v>0.18</v>
      </c>
      <c r="N248">
        <v>0.14000000000000001</v>
      </c>
      <c r="O248">
        <v>0.12</v>
      </c>
      <c r="P248">
        <v>0.1</v>
      </c>
      <c r="Q248">
        <v>0.34</v>
      </c>
      <c r="R248">
        <v>0.19</v>
      </c>
      <c r="S248">
        <v>0.12</v>
      </c>
      <c r="T248">
        <v>0.1</v>
      </c>
      <c r="U248">
        <v>0.08</v>
      </c>
    </row>
    <row r="250" spans="1:21" x14ac:dyDescent="0.2">
      <c r="B250" t="s">
        <v>1232</v>
      </c>
      <c r="C250" t="s">
        <v>1233</v>
      </c>
      <c r="D250" t="s">
        <v>1234</v>
      </c>
      <c r="E250" t="s">
        <v>1235</v>
      </c>
      <c r="F250" t="s">
        <v>1236</v>
      </c>
      <c r="G250" t="s">
        <v>1237</v>
      </c>
      <c r="H250" t="s">
        <v>1238</v>
      </c>
      <c r="I250" t="s">
        <v>1239</v>
      </c>
      <c r="J250" t="s">
        <v>1240</v>
      </c>
      <c r="K250" t="s">
        <v>1241</v>
      </c>
      <c r="L250" t="s">
        <v>1242</v>
      </c>
      <c r="M250" t="s">
        <v>1243</v>
      </c>
      <c r="N250" t="s">
        <v>1244</v>
      </c>
      <c r="O250" t="s">
        <v>1245</v>
      </c>
      <c r="P250" t="s">
        <v>1246</v>
      </c>
      <c r="Q250" t="s">
        <v>1247</v>
      </c>
      <c r="R250" t="s">
        <v>1248</v>
      </c>
      <c r="S250" t="s">
        <v>1249</v>
      </c>
      <c r="T250" t="s">
        <v>1250</v>
      </c>
      <c r="U250" t="s">
        <v>1251</v>
      </c>
    </row>
    <row r="251" spans="1:21" x14ac:dyDescent="0.2">
      <c r="A251" t="s">
        <v>1302</v>
      </c>
      <c r="B251">
        <v>0.69</v>
      </c>
      <c r="C251">
        <v>0.42</v>
      </c>
      <c r="D251">
        <v>0.31</v>
      </c>
      <c r="E251">
        <v>0.26</v>
      </c>
      <c r="F251">
        <v>0.22</v>
      </c>
      <c r="G251">
        <v>1.08</v>
      </c>
      <c r="H251">
        <v>0.55000000000000004</v>
      </c>
      <c r="I251">
        <v>0.34</v>
      </c>
      <c r="J251">
        <v>0.27</v>
      </c>
      <c r="K251">
        <v>0.16</v>
      </c>
      <c r="L251">
        <v>0.48</v>
      </c>
      <c r="M251">
        <v>0.33</v>
      </c>
      <c r="N251">
        <v>0.26</v>
      </c>
      <c r="O251">
        <v>0.22</v>
      </c>
      <c r="P251">
        <v>0.19</v>
      </c>
      <c r="Q251">
        <v>0.62</v>
      </c>
      <c r="R251">
        <v>0.34</v>
      </c>
      <c r="S251">
        <v>0.23</v>
      </c>
      <c r="T251">
        <v>0.19</v>
      </c>
      <c r="U251">
        <v>0.15</v>
      </c>
    </row>
    <row r="252" spans="1:21" x14ac:dyDescent="0.2">
      <c r="A252" t="s">
        <v>1231</v>
      </c>
      <c r="B252">
        <v>1.18</v>
      </c>
      <c r="C252">
        <v>0.73</v>
      </c>
      <c r="D252">
        <v>0.53</v>
      </c>
      <c r="E252">
        <v>0.44</v>
      </c>
      <c r="F252">
        <v>0.37</v>
      </c>
      <c r="G252">
        <v>1.85</v>
      </c>
      <c r="H252">
        <v>0.94</v>
      </c>
      <c r="I252">
        <v>0.59</v>
      </c>
      <c r="J252">
        <v>0.47</v>
      </c>
      <c r="K252">
        <v>0.27</v>
      </c>
      <c r="L252">
        <v>0.82</v>
      </c>
      <c r="M252">
        <v>0.56000000000000005</v>
      </c>
      <c r="N252">
        <v>0.44</v>
      </c>
      <c r="O252">
        <v>0.38</v>
      </c>
      <c r="P252">
        <v>0.32</v>
      </c>
      <c r="Q252">
        <v>1.06</v>
      </c>
      <c r="R252">
        <v>0.59</v>
      </c>
      <c r="S252">
        <v>0.39</v>
      </c>
      <c r="T252">
        <v>0.32</v>
      </c>
      <c r="U252">
        <v>0.26</v>
      </c>
    </row>
    <row r="253" spans="1:21" x14ac:dyDescent="0.2">
      <c r="A253" t="str">
        <f>J237</f>
        <v>Average</v>
      </c>
      <c r="B253">
        <v>0.94</v>
      </c>
      <c r="C253">
        <v>0.57999999999999996</v>
      </c>
      <c r="D253">
        <v>0.42</v>
      </c>
      <c r="E253">
        <v>0.35</v>
      </c>
      <c r="F253">
        <v>0.3</v>
      </c>
      <c r="G253">
        <v>1.47</v>
      </c>
      <c r="H253">
        <v>0.75</v>
      </c>
      <c r="I253">
        <v>0.47</v>
      </c>
      <c r="J253">
        <v>0.37</v>
      </c>
      <c r="K253">
        <v>0.22</v>
      </c>
      <c r="L253">
        <v>0.65</v>
      </c>
      <c r="M253">
        <v>0.45</v>
      </c>
      <c r="N253">
        <v>0.35</v>
      </c>
      <c r="O253">
        <v>0.3</v>
      </c>
      <c r="P253">
        <v>0.26</v>
      </c>
      <c r="Q253">
        <v>0.84</v>
      </c>
      <c r="R253">
        <v>0.47</v>
      </c>
      <c r="S253">
        <v>0.31</v>
      </c>
      <c r="T253">
        <v>0.25</v>
      </c>
      <c r="U253">
        <v>0.2</v>
      </c>
    </row>
    <row r="254" spans="1:21" x14ac:dyDescent="0.2">
      <c r="A254" t="str">
        <f>J238</f>
        <v>Semi-Loose</v>
      </c>
      <c r="B254">
        <v>0.44</v>
      </c>
      <c r="C254">
        <v>0.27</v>
      </c>
      <c r="D254">
        <v>0.2</v>
      </c>
      <c r="E254">
        <v>0.17</v>
      </c>
      <c r="F254">
        <v>0.14000000000000001</v>
      </c>
      <c r="G254">
        <v>0.7</v>
      </c>
      <c r="H254">
        <v>0.35</v>
      </c>
      <c r="I254">
        <v>0.22</v>
      </c>
      <c r="J254">
        <v>0.17</v>
      </c>
      <c r="K254">
        <v>0.1</v>
      </c>
      <c r="L254">
        <v>0.31</v>
      </c>
      <c r="M254">
        <v>0.21</v>
      </c>
      <c r="N254">
        <v>0.16</v>
      </c>
      <c r="O254">
        <v>0.14000000000000001</v>
      </c>
      <c r="P254">
        <v>0.12</v>
      </c>
      <c r="Q254">
        <v>0.4</v>
      </c>
      <c r="R254">
        <v>0.22</v>
      </c>
      <c r="S254">
        <v>0.15</v>
      </c>
      <c r="T254">
        <v>0.12</v>
      </c>
      <c r="U254">
        <v>0.1</v>
      </c>
    </row>
    <row r="255" spans="1:21" x14ac:dyDescent="0.2">
      <c r="A255" t="s">
        <v>833</v>
      </c>
      <c r="B255">
        <v>0.2</v>
      </c>
      <c r="C255">
        <v>0.12</v>
      </c>
      <c r="D255">
        <v>0.09</v>
      </c>
      <c r="E255">
        <v>7.0000000000000007E-2</v>
      </c>
      <c r="F255">
        <v>0.06</v>
      </c>
      <c r="G255">
        <v>0.31</v>
      </c>
      <c r="H255">
        <v>0.16</v>
      </c>
      <c r="I255">
        <v>0.1</v>
      </c>
      <c r="J255">
        <v>0.08</v>
      </c>
      <c r="K255">
        <v>0.05</v>
      </c>
      <c r="L255">
        <v>0.14000000000000001</v>
      </c>
      <c r="M255">
        <v>0.09</v>
      </c>
      <c r="N255">
        <v>7.0000000000000007E-2</v>
      </c>
      <c r="O255">
        <v>0.06</v>
      </c>
      <c r="P255">
        <v>0.05</v>
      </c>
      <c r="Q255">
        <v>0.18</v>
      </c>
      <c r="R255">
        <v>0.1</v>
      </c>
      <c r="S255">
        <v>7.0000000000000007E-2</v>
      </c>
      <c r="T255">
        <v>0.05</v>
      </c>
      <c r="U255">
        <v>0.04</v>
      </c>
    </row>
    <row r="257" spans="1:6" x14ac:dyDescent="0.2">
      <c r="A257" s="1009" t="s">
        <v>321</v>
      </c>
      <c r="E257" t="s">
        <v>1749</v>
      </c>
      <c r="F257" t="s">
        <v>1750</v>
      </c>
    </row>
    <row r="258" spans="1:6" x14ac:dyDescent="0.2">
      <c r="A258" t="s">
        <v>322</v>
      </c>
      <c r="E258">
        <v>710</v>
      </c>
      <c r="F258">
        <v>1090</v>
      </c>
    </row>
    <row r="259" spans="1:6" x14ac:dyDescent="0.2">
      <c r="A259" t="s">
        <v>323</v>
      </c>
      <c r="E259">
        <v>1000</v>
      </c>
      <c r="F259">
        <v>1500</v>
      </c>
    </row>
    <row r="260" spans="1:6" x14ac:dyDescent="0.2">
      <c r="A260" t="s">
        <v>324</v>
      </c>
      <c r="E260">
        <v>2000</v>
      </c>
      <c r="F260">
        <v>3000</v>
      </c>
    </row>
    <row r="261" spans="1:6" x14ac:dyDescent="0.2">
      <c r="A261" t="s">
        <v>325</v>
      </c>
      <c r="E261">
        <v>290</v>
      </c>
      <c r="F261">
        <v>125</v>
      </c>
    </row>
    <row r="262" spans="1:6" x14ac:dyDescent="0.2">
      <c r="A262" t="s">
        <v>326</v>
      </c>
      <c r="E262">
        <v>300</v>
      </c>
      <c r="F262">
        <v>550</v>
      </c>
    </row>
    <row r="263" spans="1:6" x14ac:dyDescent="0.2">
      <c r="A263" t="s">
        <v>327</v>
      </c>
      <c r="E263">
        <v>580</v>
      </c>
      <c r="F263">
        <v>870</v>
      </c>
    </row>
    <row r="264" spans="1:6" x14ac:dyDescent="0.2">
      <c r="A264" t="s">
        <v>332</v>
      </c>
      <c r="E264">
        <v>275</v>
      </c>
      <c r="F264">
        <v>475</v>
      </c>
    </row>
    <row r="265" spans="1:6" x14ac:dyDescent="0.2">
      <c r="A265" t="s">
        <v>329</v>
      </c>
      <c r="E265">
        <v>305</v>
      </c>
      <c r="F265">
        <v>545</v>
      </c>
    </row>
    <row r="266" spans="1:6" x14ac:dyDescent="0.2">
      <c r="A266" t="s">
        <v>328</v>
      </c>
      <c r="E266">
        <v>565</v>
      </c>
      <c r="F266">
        <v>1035</v>
      </c>
    </row>
    <row r="267" spans="1:6" x14ac:dyDescent="0.2">
      <c r="A267" t="s">
        <v>330</v>
      </c>
      <c r="E267">
        <v>305</v>
      </c>
      <c r="F267">
        <v>545</v>
      </c>
    </row>
    <row r="268" spans="1:6" x14ac:dyDescent="0.2">
      <c r="A268" t="s">
        <v>331</v>
      </c>
      <c r="E268">
        <v>710</v>
      </c>
      <c r="F268">
        <v>1090</v>
      </c>
    </row>
    <row r="269" spans="1:6" x14ac:dyDescent="0.2">
      <c r="A269" t="s">
        <v>333</v>
      </c>
      <c r="E269">
        <v>375</v>
      </c>
      <c r="F269">
        <v>625</v>
      </c>
    </row>
    <row r="270" spans="1:6" x14ac:dyDescent="0.2">
      <c r="A270" t="s">
        <v>334</v>
      </c>
      <c r="E270">
        <v>580</v>
      </c>
      <c r="F270">
        <v>870</v>
      </c>
    </row>
    <row r="271" spans="1:6" x14ac:dyDescent="0.2">
      <c r="A271" t="s">
        <v>2593</v>
      </c>
      <c r="E271">
        <v>245</v>
      </c>
      <c r="F271">
        <v>155</v>
      </c>
    </row>
    <row r="272" spans="1:6" x14ac:dyDescent="0.2">
      <c r="A272" t="s">
        <v>335</v>
      </c>
      <c r="E272">
        <v>250</v>
      </c>
      <c r="F272">
        <v>200</v>
      </c>
    </row>
    <row r="273" spans="1:6" x14ac:dyDescent="0.2">
      <c r="A273" t="s">
        <v>2594</v>
      </c>
      <c r="E273">
        <v>275</v>
      </c>
      <c r="F273">
        <v>275</v>
      </c>
    </row>
    <row r="274" spans="1:6" x14ac:dyDescent="0.2">
      <c r="A274" t="s">
        <v>2592</v>
      </c>
      <c r="E274">
        <v>250</v>
      </c>
      <c r="F274">
        <v>200</v>
      </c>
    </row>
    <row r="275" spans="1:6" x14ac:dyDescent="0.2">
      <c r="A275" t="s">
        <v>2591</v>
      </c>
      <c r="E275">
        <v>275</v>
      </c>
      <c r="F275">
        <v>475</v>
      </c>
    </row>
    <row r="276" spans="1:6" x14ac:dyDescent="0.2">
      <c r="A276" t="s">
        <v>2590</v>
      </c>
      <c r="E276">
        <v>250</v>
      </c>
      <c r="F276">
        <v>200</v>
      </c>
    </row>
    <row r="277" spans="1:6" x14ac:dyDescent="0.2">
      <c r="A277" t="s">
        <v>337</v>
      </c>
      <c r="E277">
        <v>375</v>
      </c>
      <c r="F277">
        <v>625</v>
      </c>
    </row>
    <row r="278" spans="1:6" x14ac:dyDescent="0.2">
      <c r="A278" t="s">
        <v>336</v>
      </c>
      <c r="E278">
        <v>315</v>
      </c>
      <c r="F278">
        <v>325</v>
      </c>
    </row>
    <row r="280" spans="1:6" x14ac:dyDescent="0.2">
      <c r="A280" s="1009" t="s">
        <v>2598</v>
      </c>
    </row>
    <row r="281" spans="1:6" x14ac:dyDescent="0.2">
      <c r="A281" t="s">
        <v>1450</v>
      </c>
      <c r="B281">
        <v>0.05</v>
      </c>
    </row>
    <row r="282" spans="1:6" x14ac:dyDescent="0.2">
      <c r="A282" t="s">
        <v>1451</v>
      </c>
      <c r="B282">
        <v>0.05</v>
      </c>
    </row>
    <row r="283" spans="1:6" x14ac:dyDescent="0.2">
      <c r="A283" t="s">
        <v>2599</v>
      </c>
      <c r="B283">
        <v>2.5000000000000001E-2</v>
      </c>
    </row>
    <row r="285" spans="1:6" x14ac:dyDescent="0.2">
      <c r="A285" s="1009" t="s">
        <v>379</v>
      </c>
    </row>
    <row r="286" spans="1:6" x14ac:dyDescent="0.2">
      <c r="A286" t="s">
        <v>2600</v>
      </c>
      <c r="B286">
        <v>2</v>
      </c>
    </row>
    <row r="287" spans="1:6" x14ac:dyDescent="0.2">
      <c r="A287" t="s">
        <v>4108</v>
      </c>
      <c r="B287">
        <v>3</v>
      </c>
    </row>
    <row r="288" spans="1:6" x14ac:dyDescent="0.2">
      <c r="A288" t="s">
        <v>1453</v>
      </c>
      <c r="B288">
        <v>4</v>
      </c>
    </row>
    <row r="290" spans="1:1" x14ac:dyDescent="0.2">
      <c r="A290">
        <v>15</v>
      </c>
    </row>
    <row r="291" spans="1:1" x14ac:dyDescent="0.2">
      <c r="A291">
        <v>20</v>
      </c>
    </row>
    <row r="292" spans="1:1" x14ac:dyDescent="0.2">
      <c r="A292">
        <v>30</v>
      </c>
    </row>
  </sheetData>
  <mergeCells count="4">
    <mergeCell ref="B63:G63"/>
    <mergeCell ref="A108:B108"/>
    <mergeCell ref="A122:B122"/>
    <mergeCell ref="C122:D122"/>
  </mergeCells>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pageSetUpPr fitToPage="1"/>
  </sheetPr>
  <dimension ref="B2:U66"/>
  <sheetViews>
    <sheetView topLeftCell="A20" workbookViewId="0">
      <selection activeCell="M50" sqref="M50"/>
    </sheetView>
  </sheetViews>
  <sheetFormatPr defaultColWidth="9.140625" defaultRowHeight="11.45" customHeight="1" x14ac:dyDescent="0.2"/>
  <cols>
    <col min="1" max="1" width="3.7109375" style="55" customWidth="1"/>
    <col min="2" max="2" width="3.7109375" style="54" customWidth="1"/>
    <col min="3" max="3" width="4.28515625" style="54" customWidth="1"/>
    <col min="4" max="17" width="9.140625" style="54"/>
    <col min="18" max="18" width="5.7109375" style="55" customWidth="1"/>
    <col min="19" max="21" width="9.140625" style="54"/>
    <col min="22" max="16384" width="9.140625" style="55"/>
  </cols>
  <sheetData>
    <row r="2" spans="2:21" ht="11.45" customHeight="1" x14ac:dyDescent="0.2">
      <c r="B2" s="1374" t="s">
        <v>2444</v>
      </c>
      <c r="C2" s="1375"/>
      <c r="D2" s="1375"/>
      <c r="E2" s="1375"/>
      <c r="F2" s="1375"/>
      <c r="G2" s="1375"/>
      <c r="H2" s="1375"/>
      <c r="I2" s="1375"/>
      <c r="J2" s="1375"/>
      <c r="K2" s="1375"/>
      <c r="L2" s="1375"/>
      <c r="M2" s="1375"/>
      <c r="N2" s="1376"/>
      <c r="O2" s="1376"/>
      <c r="P2" s="1376"/>
      <c r="Q2" s="1377"/>
    </row>
    <row r="3" spans="2:21" ht="11.45" customHeight="1" x14ac:dyDescent="0.2">
      <c r="B3" s="1378"/>
      <c r="C3" s="1379"/>
      <c r="D3" s="1379"/>
      <c r="E3" s="1379"/>
      <c r="F3" s="1379"/>
      <c r="G3" s="1379"/>
      <c r="H3" s="1379"/>
      <c r="I3" s="1379"/>
      <c r="J3" s="1379"/>
      <c r="K3" s="1379"/>
      <c r="L3" s="1379"/>
      <c r="M3" s="1379"/>
      <c r="N3" s="1380"/>
      <c r="O3" s="1380"/>
      <c r="P3" s="1380"/>
      <c r="Q3" s="1381"/>
    </row>
    <row r="4" spans="2:21" ht="8.1" customHeight="1" x14ac:dyDescent="0.2">
      <c r="B4" s="79"/>
      <c r="C4" s="80"/>
      <c r="D4" s="80"/>
      <c r="E4" s="80"/>
      <c r="F4" s="80"/>
      <c r="G4" s="80"/>
      <c r="H4" s="80"/>
      <c r="I4" s="80"/>
      <c r="J4" s="80"/>
      <c r="K4" s="80"/>
      <c r="L4" s="80"/>
      <c r="M4" s="80"/>
      <c r="N4" s="95"/>
      <c r="O4" s="95"/>
      <c r="P4" s="95"/>
      <c r="Q4" s="103"/>
    </row>
    <row r="5" spans="2:21" ht="11.45" customHeight="1" x14ac:dyDescent="0.2">
      <c r="B5" s="1664" t="s">
        <v>3786</v>
      </c>
      <c r="C5" s="1666"/>
      <c r="D5" s="1666"/>
      <c r="E5" s="1666"/>
      <c r="F5" s="1666"/>
      <c r="G5" s="1666"/>
      <c r="H5" s="1666"/>
      <c r="I5" s="1666"/>
      <c r="J5" s="1666"/>
      <c r="K5" s="1666"/>
      <c r="L5" s="1666"/>
      <c r="M5" s="1666"/>
      <c r="N5" s="1667"/>
      <c r="O5" s="1667"/>
      <c r="P5" s="1667"/>
      <c r="Q5" s="1668"/>
    </row>
    <row r="6" spans="2:21" ht="11.45" customHeight="1" x14ac:dyDescent="0.2">
      <c r="B6" s="1669" t="s">
        <v>3787</v>
      </c>
      <c r="C6" s="1670"/>
      <c r="D6" s="1670"/>
      <c r="E6" s="1670"/>
      <c r="F6" s="1670"/>
      <c r="G6" s="1670"/>
      <c r="H6" s="1670"/>
      <c r="I6" s="1670"/>
      <c r="J6" s="1670"/>
      <c r="K6" s="1670"/>
      <c r="L6" s="1670"/>
      <c r="M6" s="1670"/>
      <c r="N6" s="1671"/>
      <c r="O6" s="1671"/>
      <c r="P6" s="1671"/>
      <c r="Q6" s="1672"/>
    </row>
    <row r="7" spans="2:21" ht="11.45" customHeight="1" x14ac:dyDescent="0.2">
      <c r="B7" s="1665"/>
      <c r="C7" s="1673"/>
      <c r="D7" s="1673"/>
      <c r="E7" s="1673"/>
      <c r="F7" s="1673"/>
      <c r="G7" s="1673"/>
      <c r="H7" s="1673"/>
      <c r="I7" s="1673"/>
      <c r="J7" s="1673"/>
      <c r="K7" s="1673"/>
      <c r="L7" s="1673"/>
      <c r="M7" s="1673"/>
      <c r="N7" s="1674"/>
      <c r="O7" s="1674"/>
      <c r="P7" s="1674"/>
      <c r="Q7" s="1675"/>
    </row>
    <row r="8" spans="2:21" ht="8.1" customHeight="1" x14ac:dyDescent="0.2">
      <c r="B8" s="77"/>
      <c r="C8" s="78"/>
      <c r="D8" s="78"/>
      <c r="E8" s="78"/>
      <c r="F8" s="78"/>
      <c r="G8" s="78"/>
      <c r="H8" s="78"/>
      <c r="I8" s="78"/>
      <c r="J8" s="78"/>
      <c r="K8" s="78"/>
      <c r="L8" s="78"/>
      <c r="M8" s="78"/>
      <c r="N8" s="104"/>
      <c r="O8" s="104"/>
      <c r="P8" s="104"/>
      <c r="Q8" s="105"/>
    </row>
    <row r="9" spans="2:21" ht="11.45" customHeight="1" x14ac:dyDescent="0.2">
      <c r="B9" s="1644" t="s">
        <v>3985</v>
      </c>
      <c r="C9" s="1645"/>
      <c r="D9" s="1646"/>
      <c r="E9" s="912" t="s">
        <v>1079</v>
      </c>
      <c r="F9" s="5" t="s">
        <v>3480</v>
      </c>
      <c r="G9" s="5" t="s">
        <v>1080</v>
      </c>
      <c r="H9" s="5" t="s">
        <v>3788</v>
      </c>
      <c r="I9" s="5" t="s">
        <v>1081</v>
      </c>
      <c r="K9" s="410"/>
      <c r="L9" s="410"/>
      <c r="M9" s="445"/>
      <c r="N9" s="445"/>
      <c r="O9" s="445"/>
      <c r="P9" s="444" t="s">
        <v>473</v>
      </c>
      <c r="Q9" s="750" t="str">
        <f>'Wrk A'!H5</f>
        <v>Block</v>
      </c>
    </row>
    <row r="10" spans="2:21" ht="11.45" customHeight="1" x14ac:dyDescent="0.2">
      <c r="B10" s="1356" t="str">
        <f>'Wrk A'!C15</f>
        <v>Jul &amp; Aug</v>
      </c>
      <c r="C10" s="1647"/>
      <c r="D10" s="1358"/>
      <c r="E10" s="948">
        <f>'Wrk A'!K16</f>
        <v>0.5</v>
      </c>
      <c r="F10" s="140">
        <f>'Wrk A'!J5</f>
        <v>36</v>
      </c>
      <c r="G10" s="140">
        <f>'Wrk A'!D27</f>
        <v>40</v>
      </c>
      <c r="H10" s="140">
        <f>'Wrk A'!J27+15</f>
        <v>39.099999999999994</v>
      </c>
      <c r="I10" s="146"/>
      <c r="J10" s="1371" t="s">
        <v>3644</v>
      </c>
      <c r="K10" s="1603"/>
      <c r="L10" s="1603"/>
      <c r="M10" s="1315"/>
      <c r="N10" s="1664" t="s">
        <v>3648</v>
      </c>
      <c r="O10" s="1321"/>
      <c r="P10" s="1664" t="s">
        <v>3649</v>
      </c>
      <c r="Q10" s="1321"/>
      <c r="S10" s="1371" t="s">
        <v>3397</v>
      </c>
      <c r="T10" s="1694"/>
      <c r="U10" s="1695"/>
    </row>
    <row r="11" spans="2:21" ht="11.45" customHeight="1" x14ac:dyDescent="0.2">
      <c r="B11" s="1382" t="s">
        <v>62</v>
      </c>
      <c r="C11" s="1648"/>
      <c r="D11" s="1384"/>
      <c r="E11" s="56" t="s">
        <v>490</v>
      </c>
      <c r="F11" s="56" t="s">
        <v>1091</v>
      </c>
      <c r="G11" s="1606" t="s">
        <v>2769</v>
      </c>
      <c r="H11" s="1314"/>
      <c r="I11" s="1315"/>
      <c r="J11" s="56" t="s">
        <v>3640</v>
      </c>
      <c r="K11" s="143" t="s">
        <v>3791</v>
      </c>
      <c r="L11" s="143" t="s">
        <v>3646</v>
      </c>
      <c r="M11" s="143" t="s">
        <v>3646</v>
      </c>
      <c r="N11" s="1665" t="s">
        <v>3641</v>
      </c>
      <c r="O11" s="1362"/>
      <c r="P11" s="1669" t="s">
        <v>3651</v>
      </c>
      <c r="Q11" s="1619"/>
      <c r="S11" s="148" t="s">
        <v>1093</v>
      </c>
      <c r="T11" s="148" t="s">
        <v>1093</v>
      </c>
      <c r="U11" s="148" t="s">
        <v>1093</v>
      </c>
    </row>
    <row r="12" spans="2:21" ht="11.45" customHeight="1" x14ac:dyDescent="0.2">
      <c r="B12" s="1649"/>
      <c r="C12" s="1650"/>
      <c r="D12" s="1387"/>
      <c r="E12" s="106" t="s">
        <v>489</v>
      </c>
      <c r="F12" s="106" t="s">
        <v>1090</v>
      </c>
      <c r="G12" s="144" t="s">
        <v>1027</v>
      </c>
      <c r="H12" s="144" t="s">
        <v>1178</v>
      </c>
      <c r="I12" s="144" t="s">
        <v>1029</v>
      </c>
      <c r="J12" s="106" t="s">
        <v>3642</v>
      </c>
      <c r="K12" s="144" t="s">
        <v>945</v>
      </c>
      <c r="L12" s="144" t="s">
        <v>945</v>
      </c>
      <c r="M12" s="144" t="s">
        <v>494</v>
      </c>
      <c r="N12" s="443" t="s">
        <v>976</v>
      </c>
      <c r="O12" s="451" t="s">
        <v>977</v>
      </c>
      <c r="P12" s="1606" t="s">
        <v>3650</v>
      </c>
      <c r="Q12" s="1607"/>
      <c r="S12" s="161" t="s">
        <v>1059</v>
      </c>
      <c r="T12" s="161" t="s">
        <v>1059</v>
      </c>
      <c r="U12" s="161" t="s">
        <v>1059</v>
      </c>
    </row>
    <row r="13" spans="2:21" ht="11.45" customHeight="1" x14ac:dyDescent="0.2">
      <c r="B13" s="1651"/>
      <c r="C13" s="1652"/>
      <c r="D13" s="1653"/>
      <c r="E13" s="106" t="s">
        <v>452</v>
      </c>
      <c r="F13" s="106" t="s">
        <v>1174</v>
      </c>
      <c r="G13" s="15" t="s">
        <v>3792</v>
      </c>
      <c r="H13" s="15" t="s">
        <v>2767</v>
      </c>
      <c r="I13" s="15" t="s">
        <v>2768</v>
      </c>
      <c r="J13" s="11"/>
      <c r="K13" s="15" t="s">
        <v>3645</v>
      </c>
      <c r="L13" s="15" t="s">
        <v>3645</v>
      </c>
      <c r="M13" s="15" t="s">
        <v>495</v>
      </c>
      <c r="N13" s="443" t="s">
        <v>3643</v>
      </c>
      <c r="O13" s="451" t="s">
        <v>3643</v>
      </c>
      <c r="P13" s="143" t="s">
        <v>3647</v>
      </c>
      <c r="Q13" s="143" t="s">
        <v>975</v>
      </c>
      <c r="S13" s="15" t="s">
        <v>3395</v>
      </c>
      <c r="T13" s="15" t="s">
        <v>969</v>
      </c>
      <c r="U13" s="15" t="s">
        <v>970</v>
      </c>
    </row>
    <row r="14" spans="2:21" ht="11.45" customHeight="1" x14ac:dyDescent="0.2">
      <c r="B14" s="82" t="s">
        <v>481</v>
      </c>
      <c r="C14" s="1696"/>
      <c r="D14" s="1697"/>
      <c r="E14" s="138">
        <f>Skylight_Information</f>
        <v>0</v>
      </c>
      <c r="F14" s="146">
        <f>SkylightI!V6</f>
        <v>0</v>
      </c>
      <c r="G14" s="88">
        <f>SkylightI!AE6</f>
        <v>0</v>
      </c>
      <c r="H14" s="71">
        <f>SkylightI!Y6</f>
        <v>0</v>
      </c>
      <c r="I14" s="71">
        <f>SkylightI!AB6</f>
        <v>0</v>
      </c>
      <c r="J14" s="138"/>
      <c r="K14" s="146"/>
      <c r="L14" s="146"/>
      <c r="M14" s="71">
        <f>SkylightI!AK6</f>
        <v>0</v>
      </c>
      <c r="N14" s="87" t="str">
        <f>SkylightI!AS6</f>
        <v/>
      </c>
      <c r="O14" s="145" t="str">
        <f>SkylightI!AV6</f>
        <v/>
      </c>
      <c r="P14" s="121" t="str">
        <f>SkylightI!AS6</f>
        <v/>
      </c>
      <c r="Q14" s="121" t="str">
        <f>SkylightI!AV6</f>
        <v/>
      </c>
      <c r="R14" s="749" t="s">
        <v>481</v>
      </c>
      <c r="S14" s="109" t="str">
        <f>IF(O14&gt;0,O14,"~")</f>
        <v/>
      </c>
      <c r="T14" s="109" t="str">
        <f>IF(Q14&gt;0,Q14,"~")</f>
        <v/>
      </c>
      <c r="U14" s="109" t="str">
        <f>IF(O28&gt;0,O28,"~")</f>
        <v>~</v>
      </c>
    </row>
    <row r="15" spans="2:21" ht="11.45" customHeight="1" x14ac:dyDescent="0.2">
      <c r="B15" s="82" t="s">
        <v>482</v>
      </c>
      <c r="C15" s="1696"/>
      <c r="D15" s="1697"/>
      <c r="E15" s="138">
        <f>SkylightI!C7</f>
        <v>0</v>
      </c>
      <c r="F15" s="146">
        <f>SkylightI!V7</f>
        <v>0</v>
      </c>
      <c r="G15" s="88">
        <f>SkylightI!AE7</f>
        <v>0</v>
      </c>
      <c r="H15" s="71">
        <f>SkylightI!Y7</f>
        <v>0</v>
      </c>
      <c r="I15" s="71">
        <f>SkylightI!AB7</f>
        <v>0</v>
      </c>
      <c r="J15" s="138"/>
      <c r="K15" s="146"/>
      <c r="L15" s="146"/>
      <c r="M15" s="71">
        <f>SkylightI!AK7</f>
        <v>0</v>
      </c>
      <c r="N15" s="87" t="str">
        <f>SkylightI!AS7</f>
        <v/>
      </c>
      <c r="O15" s="145" t="str">
        <f>SkylightI!AV7</f>
        <v/>
      </c>
      <c r="P15" s="121" t="str">
        <f>SkylightI!AS7</f>
        <v/>
      </c>
      <c r="Q15" s="121" t="str">
        <f>SkylightI!AV7</f>
        <v/>
      </c>
      <c r="R15" s="749" t="s">
        <v>482</v>
      </c>
      <c r="S15" s="109" t="str">
        <f>IF(O15&gt;0,O15,"~")</f>
        <v/>
      </c>
      <c r="T15" s="109" t="str">
        <f>IF(Q15&gt;0,Q15,"~")</f>
        <v/>
      </c>
      <c r="U15" s="109" t="str">
        <f>IF(O29&gt;0,O29,"~")</f>
        <v>~</v>
      </c>
    </row>
    <row r="16" spans="2:21" ht="11.45" customHeight="1" x14ac:dyDescent="0.2">
      <c r="B16" s="82" t="s">
        <v>483</v>
      </c>
      <c r="C16" s="1696"/>
      <c r="D16" s="1697"/>
      <c r="E16" s="138">
        <f>SkylightI!C8</f>
        <v>0</v>
      </c>
      <c r="F16" s="146">
        <f>SkylightI!V8</f>
        <v>0</v>
      </c>
      <c r="G16" s="88">
        <f>SkylightI!AE8</f>
        <v>0</v>
      </c>
      <c r="H16" s="71">
        <f>SkylightI!Y8</f>
        <v>0</v>
      </c>
      <c r="I16" s="71">
        <f>SkylightI!AB8</f>
        <v>0</v>
      </c>
      <c r="J16" s="138"/>
      <c r="K16" s="146"/>
      <c r="L16" s="146"/>
      <c r="M16" s="71">
        <f>SkylightI!AK8</f>
        <v>0</v>
      </c>
      <c r="N16" s="87" t="str">
        <f>SkylightI!AS8</f>
        <v/>
      </c>
      <c r="O16" s="145" t="str">
        <f>SkylightI!AV8</f>
        <v/>
      </c>
      <c r="P16" s="121" t="str">
        <f>SkylightI!AS8</f>
        <v/>
      </c>
      <c r="Q16" s="121" t="str">
        <f>SkylightI!AV8</f>
        <v/>
      </c>
      <c r="R16" s="749" t="s">
        <v>483</v>
      </c>
      <c r="S16" s="109" t="str">
        <f>IF(O16&gt;0,O16,"~")</f>
        <v/>
      </c>
      <c r="T16" s="109" t="str">
        <f>IF(Q16&gt;0,Q16,"~")</f>
        <v/>
      </c>
      <c r="U16" s="109" t="str">
        <f>IF(O30&gt;0,O30,"~")</f>
        <v>~</v>
      </c>
    </row>
    <row r="17" spans="2:21" ht="11.45" customHeight="1" x14ac:dyDescent="0.2">
      <c r="B17" s="82" t="s">
        <v>484</v>
      </c>
      <c r="C17" s="1696"/>
      <c r="D17" s="1697"/>
      <c r="E17" s="138">
        <f>SkylightI!C9</f>
        <v>0</v>
      </c>
      <c r="F17" s="146">
        <f>SkylightI!V9</f>
        <v>0</v>
      </c>
      <c r="G17" s="88">
        <f>SkylightI!AE9</f>
        <v>0</v>
      </c>
      <c r="H17" s="71">
        <f>SkylightI!Y9</f>
        <v>0</v>
      </c>
      <c r="I17" s="71">
        <f>SkylightI!AB9</f>
        <v>0</v>
      </c>
      <c r="J17" s="138"/>
      <c r="K17" s="146"/>
      <c r="L17" s="146"/>
      <c r="M17" s="71">
        <f>SkylightI!AK9</f>
        <v>0</v>
      </c>
      <c r="N17" s="87" t="str">
        <f>SkylightI!AS9</f>
        <v/>
      </c>
      <c r="O17" s="145" t="str">
        <f>SkylightI!AV9</f>
        <v/>
      </c>
      <c r="P17" s="121" t="str">
        <f>SkylightI!AS9</f>
        <v/>
      </c>
      <c r="Q17" s="121" t="str">
        <f>SkylightI!AV9</f>
        <v/>
      </c>
      <c r="R17" s="749" t="s">
        <v>484</v>
      </c>
      <c r="S17" s="109" t="str">
        <f>IF(O17&gt;0,O17,"~")</f>
        <v/>
      </c>
      <c r="T17" s="109" t="str">
        <f>IF(Q17&gt;0,Q17,"~")</f>
        <v/>
      </c>
      <c r="U17" s="109" t="str">
        <f>IF(O31&gt;0,O31,"~")</f>
        <v>~</v>
      </c>
    </row>
    <row r="18" spans="2:21" ht="11.45" customHeight="1" x14ac:dyDescent="0.2">
      <c r="B18" s="82" t="s">
        <v>485</v>
      </c>
      <c r="C18" s="1696"/>
      <c r="D18" s="1697"/>
      <c r="E18" s="138">
        <f>SkylightI!C10</f>
        <v>0</v>
      </c>
      <c r="F18" s="146">
        <f>SkylightI!V10</f>
        <v>0</v>
      </c>
      <c r="G18" s="88">
        <f>SkylightI!AE10</f>
        <v>0</v>
      </c>
      <c r="H18" s="71">
        <f>SkylightI!Y10</f>
        <v>0</v>
      </c>
      <c r="I18" s="71">
        <f>SkylightI!AB10</f>
        <v>0</v>
      </c>
      <c r="J18" s="138"/>
      <c r="K18" s="146"/>
      <c r="L18" s="146"/>
      <c r="M18" s="71">
        <f>SkylightI!AK10</f>
        <v>0</v>
      </c>
      <c r="N18" s="87" t="str">
        <f>SkylightI!AS10</f>
        <v/>
      </c>
      <c r="O18" s="145" t="str">
        <f>SkylightI!AV10</f>
        <v/>
      </c>
      <c r="P18" s="121" t="str">
        <f>SkylightI!AS10</f>
        <v/>
      </c>
      <c r="Q18" s="121" t="str">
        <f>SkylightI!AV10</f>
        <v/>
      </c>
      <c r="R18" s="749" t="s">
        <v>485</v>
      </c>
      <c r="S18" s="109" t="str">
        <f>IF(O18&gt;0,O18,"~")</f>
        <v/>
      </c>
      <c r="T18" s="109" t="str">
        <f>IF(Q18&gt;0,Q18,"~")</f>
        <v/>
      </c>
      <c r="U18" s="109" t="str">
        <f>IF(O32&gt;0,O32,"~")</f>
        <v>~</v>
      </c>
    </row>
    <row r="19" spans="2:21" ht="11.45" customHeight="1" x14ac:dyDescent="0.2">
      <c r="B19" s="1663" t="s">
        <v>2565</v>
      </c>
      <c r="C19" s="1383"/>
      <c r="D19" s="1383"/>
      <c r="E19" s="1383"/>
      <c r="F19" s="1383"/>
      <c r="G19" s="1383"/>
      <c r="H19" s="1383"/>
      <c r="I19" s="1383"/>
      <c r="J19" s="1383"/>
      <c r="K19" s="1383"/>
      <c r="L19" s="1383"/>
      <c r="M19" s="1383"/>
      <c r="N19" s="1383"/>
      <c r="O19" s="1383"/>
      <c r="P19" s="1383"/>
      <c r="Q19" s="1384"/>
    </row>
    <row r="20" spans="2:21" ht="11.45" customHeight="1" x14ac:dyDescent="0.2">
      <c r="B20" s="1385"/>
      <c r="C20" s="1388"/>
      <c r="D20" s="1388"/>
      <c r="E20" s="1388"/>
      <c r="F20" s="1388"/>
      <c r="G20" s="1388"/>
      <c r="H20" s="1388"/>
      <c r="I20" s="1388"/>
      <c r="J20" s="1388"/>
      <c r="K20" s="1388"/>
      <c r="L20" s="1388"/>
      <c r="M20" s="1388"/>
      <c r="N20" s="1388"/>
      <c r="O20" s="1388"/>
      <c r="P20" s="1388"/>
      <c r="Q20" s="1387"/>
    </row>
    <row r="21" spans="2:21" ht="8.1" customHeight="1" x14ac:dyDescent="0.2">
      <c r="B21" s="79"/>
      <c r="C21" s="80"/>
      <c r="D21" s="80"/>
      <c r="E21" s="80"/>
      <c r="F21" s="80"/>
      <c r="G21" s="80"/>
      <c r="H21" s="80"/>
      <c r="I21" s="80"/>
      <c r="J21" s="80"/>
      <c r="K21" s="80"/>
      <c r="L21" s="80"/>
      <c r="M21" s="80"/>
      <c r="N21" s="95"/>
      <c r="O21" s="95"/>
      <c r="P21" s="95"/>
      <c r="Q21" s="103"/>
    </row>
    <row r="22" spans="2:21" ht="11.45" customHeight="1" x14ac:dyDescent="0.2">
      <c r="B22" s="1680" t="s">
        <v>963</v>
      </c>
      <c r="C22" s="1666"/>
      <c r="D22" s="1666"/>
      <c r="E22" s="1666"/>
      <c r="F22" s="1666"/>
      <c r="G22" s="1666"/>
      <c r="H22" s="1666"/>
      <c r="I22" s="1666"/>
      <c r="J22" s="1666"/>
      <c r="K22" s="1666"/>
      <c r="L22" s="1666"/>
      <c r="M22" s="1666"/>
      <c r="N22" s="1667"/>
      <c r="O22" s="1667"/>
      <c r="P22" s="1667"/>
      <c r="Q22" s="1668"/>
    </row>
    <row r="23" spans="2:21" ht="11.45" customHeight="1" x14ac:dyDescent="0.2">
      <c r="B23" s="1669" t="s">
        <v>2761</v>
      </c>
      <c r="C23" s="1670"/>
      <c r="D23" s="1670"/>
      <c r="E23" s="1670"/>
      <c r="F23" s="1670"/>
      <c r="G23" s="1670"/>
      <c r="H23" s="1670"/>
      <c r="I23" s="1670"/>
      <c r="J23" s="1670"/>
      <c r="K23" s="1670"/>
      <c r="L23" s="1670"/>
      <c r="M23" s="1670"/>
      <c r="N23" s="1671"/>
      <c r="O23" s="1671"/>
      <c r="P23" s="1671"/>
      <c r="Q23" s="1672"/>
    </row>
    <row r="24" spans="2:21" ht="11.45" customHeight="1" x14ac:dyDescent="0.2">
      <c r="B24" s="1665"/>
      <c r="C24" s="1673"/>
      <c r="D24" s="1673"/>
      <c r="E24" s="1673"/>
      <c r="F24" s="1673"/>
      <c r="G24" s="1673"/>
      <c r="H24" s="1673"/>
      <c r="I24" s="1673"/>
      <c r="J24" s="1673"/>
      <c r="K24" s="1673"/>
      <c r="L24" s="1673"/>
      <c r="M24" s="1673"/>
      <c r="N24" s="1674"/>
      <c r="O24" s="1674"/>
      <c r="P24" s="1674"/>
      <c r="Q24" s="1675"/>
      <c r="S24" s="1371" t="s">
        <v>3396</v>
      </c>
      <c r="T24" s="1694"/>
      <c r="U24" s="1695"/>
    </row>
    <row r="25" spans="2:21" ht="11.45" customHeight="1" x14ac:dyDescent="0.2">
      <c r="B25" s="1654" t="s">
        <v>2096</v>
      </c>
      <c r="C25" s="1655"/>
      <c r="D25" s="1656"/>
      <c r="E25" s="1664" t="s">
        <v>964</v>
      </c>
      <c r="F25" s="1321"/>
      <c r="G25" s="148" t="s">
        <v>3791</v>
      </c>
      <c r="H25" s="93" t="s">
        <v>498</v>
      </c>
      <c r="I25" s="1371" t="s">
        <v>965</v>
      </c>
      <c r="J25" s="1315"/>
      <c r="K25" s="1371" t="s">
        <v>966</v>
      </c>
      <c r="L25" s="1314"/>
      <c r="M25" s="148" t="s">
        <v>501</v>
      </c>
      <c r="N25" s="1606" t="s">
        <v>3652</v>
      </c>
      <c r="O25" s="1681"/>
      <c r="P25" s="1607"/>
      <c r="Q25" s="148" t="s">
        <v>501</v>
      </c>
      <c r="S25" s="148" t="s">
        <v>501</v>
      </c>
      <c r="T25" s="148" t="s">
        <v>501</v>
      </c>
      <c r="U25" s="148" t="s">
        <v>501</v>
      </c>
    </row>
    <row r="26" spans="2:21" ht="11.45" customHeight="1" x14ac:dyDescent="0.2">
      <c r="B26" s="1657"/>
      <c r="C26" s="1658"/>
      <c r="D26" s="1659"/>
      <c r="E26" s="1665" t="s">
        <v>967</v>
      </c>
      <c r="F26" s="1323"/>
      <c r="G26" s="10" t="s">
        <v>496</v>
      </c>
      <c r="H26" s="54" t="s">
        <v>3793</v>
      </c>
      <c r="I26" s="93" t="s">
        <v>499</v>
      </c>
      <c r="J26" s="93" t="s">
        <v>492</v>
      </c>
      <c r="K26" s="93" t="s">
        <v>500</v>
      </c>
      <c r="L26" s="159" t="s">
        <v>493</v>
      </c>
      <c r="M26" s="161" t="s">
        <v>968</v>
      </c>
      <c r="N26" s="452" t="s">
        <v>3497</v>
      </c>
      <c r="O26" s="452" t="s">
        <v>1092</v>
      </c>
      <c r="P26" s="443" t="s">
        <v>3653</v>
      </c>
      <c r="Q26" s="161" t="s">
        <v>968</v>
      </c>
      <c r="S26" s="161" t="s">
        <v>968</v>
      </c>
      <c r="T26" s="161" t="s">
        <v>968</v>
      </c>
      <c r="U26" s="161" t="s">
        <v>968</v>
      </c>
    </row>
    <row r="27" spans="2:21" ht="11.45" customHeight="1" x14ac:dyDescent="0.2">
      <c r="B27" s="1660"/>
      <c r="C27" s="1661"/>
      <c r="D27" s="1662"/>
      <c r="E27" s="93" t="s">
        <v>3795</v>
      </c>
      <c r="F27" s="93" t="s">
        <v>3796</v>
      </c>
      <c r="G27" s="149" t="s">
        <v>497</v>
      </c>
      <c r="H27" s="94" t="s">
        <v>2967</v>
      </c>
      <c r="I27" s="94"/>
      <c r="J27" s="94"/>
      <c r="K27" s="94"/>
      <c r="L27" s="160"/>
      <c r="M27" s="15" t="s">
        <v>969</v>
      </c>
      <c r="N27" s="453"/>
      <c r="O27" s="453" t="s">
        <v>1093</v>
      </c>
      <c r="P27" s="443" t="s">
        <v>3654</v>
      </c>
      <c r="Q27" s="15" t="s">
        <v>970</v>
      </c>
      <c r="S27" s="15" t="s">
        <v>3395</v>
      </c>
      <c r="T27" s="15" t="s">
        <v>969</v>
      </c>
      <c r="U27" s="15" t="s">
        <v>970</v>
      </c>
    </row>
    <row r="28" spans="2:21" ht="11.45" customHeight="1" x14ac:dyDescent="0.2">
      <c r="B28" s="1682" t="s">
        <v>481</v>
      </c>
      <c r="C28" s="1684"/>
      <c r="D28" s="1683"/>
      <c r="E28" s="150" t="str">
        <f>SkylightI!BK6</f>
        <v/>
      </c>
      <c r="F28" s="150" t="str">
        <f>SkylightI!BN6</f>
        <v/>
      </c>
      <c r="G28" s="140">
        <f>2*(H14+I14)</f>
        <v>0</v>
      </c>
      <c r="H28" s="140">
        <f>H14*I14</f>
        <v>0</v>
      </c>
      <c r="I28" s="140">
        <f>G28*G14/12</f>
        <v>0</v>
      </c>
      <c r="J28" s="128" t="e">
        <f>I28/H28</f>
        <v>#DIV/0!</v>
      </c>
      <c r="K28" s="140">
        <f>G28*M14</f>
        <v>0</v>
      </c>
      <c r="L28" s="128" t="e">
        <f>K28/H28</f>
        <v>#DIV/0!</v>
      </c>
      <c r="M28" s="109" t="e">
        <f>IF(P14&gt;0,(P14+E28*J28+F28*L28),0)</f>
        <v>#VALUE!</v>
      </c>
      <c r="N28" s="150"/>
      <c r="O28" s="150"/>
      <c r="P28" s="6"/>
      <c r="Q28" s="128">
        <f>IF(N28&gt;0,(N28+E28*J28+F28*L28-P28*E28*J28),0)</f>
        <v>0</v>
      </c>
      <c r="R28" s="749" t="s">
        <v>481</v>
      </c>
      <c r="S28" s="109" t="str">
        <f>IF(N14&gt;0,N14,"~")</f>
        <v/>
      </c>
      <c r="T28" s="109" t="e">
        <f>IF(M28&gt;0,M28,"~")</f>
        <v>#VALUE!</v>
      </c>
      <c r="U28" s="109" t="str">
        <f>IF(Q28&gt;0,Q28,"~")</f>
        <v>~</v>
      </c>
    </row>
    <row r="29" spans="2:21" ht="11.45" customHeight="1" x14ac:dyDescent="0.2">
      <c r="B29" s="1682" t="s">
        <v>482</v>
      </c>
      <c r="C29" s="1684"/>
      <c r="D29" s="1683"/>
      <c r="E29" s="150" t="str">
        <f>SkylightI!BK7</f>
        <v/>
      </c>
      <c r="F29" s="150" t="str">
        <f>SkylightI!BN7</f>
        <v/>
      </c>
      <c r="G29" s="140">
        <f>2*(H15+I15)</f>
        <v>0</v>
      </c>
      <c r="H29" s="140">
        <f>H15*I15</f>
        <v>0</v>
      </c>
      <c r="I29" s="140">
        <f>G29*G15/12</f>
        <v>0</v>
      </c>
      <c r="J29" s="128" t="e">
        <f>I29/H29</f>
        <v>#DIV/0!</v>
      </c>
      <c r="K29" s="140">
        <f>G29*M15</f>
        <v>0</v>
      </c>
      <c r="L29" s="128" t="e">
        <f>K29/H29</f>
        <v>#DIV/0!</v>
      </c>
      <c r="M29" s="109" t="e">
        <f>IF(P15&gt;0,(P15+E29*J29+F29*L29),0)</f>
        <v>#VALUE!</v>
      </c>
      <c r="N29" s="150"/>
      <c r="O29" s="150"/>
      <c r="P29" s="6"/>
      <c r="Q29" s="128">
        <f>IF(N29&gt;0,(N29+E29*J29+F29*L29-P29*E29*J29),0)</f>
        <v>0</v>
      </c>
      <c r="R29" s="749" t="s">
        <v>482</v>
      </c>
      <c r="S29" s="109" t="str">
        <f>IF(N15&gt;0,N15,"~")</f>
        <v/>
      </c>
      <c r="T29" s="109" t="e">
        <f>IF(M29&gt;0,M29,"~")</f>
        <v>#VALUE!</v>
      </c>
      <c r="U29" s="109" t="str">
        <f>IF(Q29&gt;0,Q29,"~")</f>
        <v>~</v>
      </c>
    </row>
    <row r="30" spans="2:21" ht="11.45" customHeight="1" x14ac:dyDescent="0.2">
      <c r="B30" s="1682" t="s">
        <v>483</v>
      </c>
      <c r="C30" s="1684"/>
      <c r="D30" s="1683"/>
      <c r="E30" s="150" t="str">
        <f>SkylightI!BK8</f>
        <v/>
      </c>
      <c r="F30" s="150" t="str">
        <f>SkylightI!BN8</f>
        <v/>
      </c>
      <c r="G30" s="140">
        <f>2*(H16+I16)</f>
        <v>0</v>
      </c>
      <c r="H30" s="140">
        <f>H16*I16</f>
        <v>0</v>
      </c>
      <c r="I30" s="140">
        <f>G30*G16/12</f>
        <v>0</v>
      </c>
      <c r="J30" s="128" t="e">
        <f>I30/H30</f>
        <v>#DIV/0!</v>
      </c>
      <c r="K30" s="140">
        <f>G30*M16</f>
        <v>0</v>
      </c>
      <c r="L30" s="128" t="e">
        <f>K30/H30</f>
        <v>#DIV/0!</v>
      </c>
      <c r="M30" s="109" t="e">
        <f>IF(P16&gt;0,(P16+E30*J30+F30*L30),0)</f>
        <v>#VALUE!</v>
      </c>
      <c r="N30" s="150"/>
      <c r="O30" s="150"/>
      <c r="P30" s="6"/>
      <c r="Q30" s="128">
        <f>IF(N30&gt;0,(N30+E30*J30+F30*L30-P30*E30*J30),0)</f>
        <v>0</v>
      </c>
      <c r="R30" s="749" t="s">
        <v>483</v>
      </c>
      <c r="S30" s="109" t="str">
        <f>IF(N16&gt;0,N16,"~")</f>
        <v/>
      </c>
      <c r="T30" s="109" t="e">
        <f>IF(M30&gt;0,M30,"~")</f>
        <v>#VALUE!</v>
      </c>
      <c r="U30" s="109" t="str">
        <f>IF(Q30&gt;0,Q30,"~")</f>
        <v>~</v>
      </c>
    </row>
    <row r="31" spans="2:21" ht="11.45" customHeight="1" x14ac:dyDescent="0.2">
      <c r="B31" s="1682" t="s">
        <v>484</v>
      </c>
      <c r="C31" s="1684"/>
      <c r="D31" s="1683"/>
      <c r="E31" s="150" t="str">
        <f>SkylightI!BK9</f>
        <v/>
      </c>
      <c r="F31" s="150" t="str">
        <f>SkylightI!BN9</f>
        <v/>
      </c>
      <c r="G31" s="140">
        <f>2*(H17+I17)</f>
        <v>0</v>
      </c>
      <c r="H31" s="140">
        <f>H17*I17</f>
        <v>0</v>
      </c>
      <c r="I31" s="140">
        <f>G31*G17/12</f>
        <v>0</v>
      </c>
      <c r="J31" s="128" t="e">
        <f>I31/H31</f>
        <v>#DIV/0!</v>
      </c>
      <c r="K31" s="140">
        <f>G31*M17</f>
        <v>0</v>
      </c>
      <c r="L31" s="128" t="e">
        <f>K31/H31</f>
        <v>#DIV/0!</v>
      </c>
      <c r="M31" s="109" t="e">
        <f>IF(P17&gt;0,(P17+E31*J31+F31*L31),0)</f>
        <v>#VALUE!</v>
      </c>
      <c r="N31" s="150"/>
      <c r="O31" s="150"/>
      <c r="P31" s="6"/>
      <c r="Q31" s="128">
        <f>IF(N31&gt;0,(N31+E31*J31+F31*L31-P31*E31*J31),0)</f>
        <v>0</v>
      </c>
      <c r="R31" s="749" t="s">
        <v>484</v>
      </c>
      <c r="S31" s="109" t="str">
        <f>IF(N17&gt;0,N17,"~")</f>
        <v/>
      </c>
      <c r="T31" s="109" t="e">
        <f>IF(M31&gt;0,M31,"~")</f>
        <v>#VALUE!</v>
      </c>
      <c r="U31" s="109" t="str">
        <f>IF(Q31&gt;0,Q31,"~")</f>
        <v>~</v>
      </c>
    </row>
    <row r="32" spans="2:21" ht="11.45" customHeight="1" x14ac:dyDescent="0.2">
      <c r="B32" s="1682" t="s">
        <v>485</v>
      </c>
      <c r="C32" s="1684"/>
      <c r="D32" s="1683"/>
      <c r="E32" s="150" t="str">
        <f>SkylightI!BK10</f>
        <v/>
      </c>
      <c r="F32" s="150" t="str">
        <f>SkylightI!BN10</f>
        <v/>
      </c>
      <c r="G32" s="140">
        <f>2*(K19+L19)</f>
        <v>0</v>
      </c>
      <c r="H32" s="140">
        <f>H18*I18</f>
        <v>0</v>
      </c>
      <c r="I32" s="140">
        <f>G32*G18/12</f>
        <v>0</v>
      </c>
      <c r="J32" s="128" t="e">
        <f>I32/H32</f>
        <v>#DIV/0!</v>
      </c>
      <c r="K32" s="140">
        <f>G32*M18</f>
        <v>0</v>
      </c>
      <c r="L32" s="128" t="e">
        <f>K32/H32</f>
        <v>#DIV/0!</v>
      </c>
      <c r="M32" s="109" t="e">
        <f>IF(P18&gt;0,(P18+E32*J32+F32*L32),0)</f>
        <v>#VALUE!</v>
      </c>
      <c r="N32" s="150"/>
      <c r="O32" s="150"/>
      <c r="P32" s="6"/>
      <c r="Q32" s="128">
        <f>IF(N32&gt;0,(N32+E32*J32+F32*L32-P32*E32*J32),0)</f>
        <v>0</v>
      </c>
      <c r="R32" s="749" t="s">
        <v>485</v>
      </c>
      <c r="S32" s="109" t="str">
        <f>IF(N18&gt;0,N18,"~")</f>
        <v/>
      </c>
      <c r="T32" s="109" t="e">
        <f>IF(M32&gt;0,M32,"~")</f>
        <v>#VALUE!</v>
      </c>
      <c r="U32" s="109" t="str">
        <f>IF(Q32&gt;0,Q32,"~")</f>
        <v>~</v>
      </c>
    </row>
    <row r="33" spans="2:17" ht="11.45" customHeight="1" x14ac:dyDescent="0.2">
      <c r="B33" s="1698" t="s">
        <v>2966</v>
      </c>
      <c r="C33" s="1699"/>
      <c r="D33" s="1699"/>
      <c r="E33" s="1699"/>
      <c r="F33" s="1699"/>
      <c r="G33" s="1699"/>
      <c r="H33" s="1699"/>
      <c r="I33" s="1699"/>
      <c r="J33" s="1699"/>
      <c r="K33" s="1699"/>
      <c r="L33" s="1699"/>
      <c r="M33" s="1699"/>
      <c r="N33" s="1699"/>
      <c r="O33" s="1699"/>
      <c r="P33" s="1699"/>
      <c r="Q33" s="1700"/>
    </row>
    <row r="34" spans="2:17" ht="11.45" customHeight="1" x14ac:dyDescent="0.2">
      <c r="B34" s="1701"/>
      <c r="C34" s="1702"/>
      <c r="D34" s="1702"/>
      <c r="E34" s="1702"/>
      <c r="F34" s="1702"/>
      <c r="G34" s="1702"/>
      <c r="H34" s="1702"/>
      <c r="I34" s="1702"/>
      <c r="J34" s="1702"/>
      <c r="K34" s="1702"/>
      <c r="L34" s="1702"/>
      <c r="M34" s="1702"/>
      <c r="N34" s="1702"/>
      <c r="O34" s="1702"/>
      <c r="P34" s="1702"/>
      <c r="Q34" s="1703"/>
    </row>
    <row r="35" spans="2:17" ht="8.1" customHeight="1" x14ac:dyDescent="0.2">
      <c r="B35" s="154"/>
      <c r="C35" s="155"/>
      <c r="D35" s="155"/>
      <c r="E35" s="151"/>
      <c r="F35" s="151"/>
      <c r="G35" s="152"/>
      <c r="H35" s="156"/>
      <c r="I35" s="156"/>
      <c r="J35" s="153"/>
      <c r="K35" s="157"/>
      <c r="L35" s="157"/>
      <c r="M35" s="157"/>
      <c r="N35" s="157"/>
      <c r="O35" s="157"/>
      <c r="P35" s="157"/>
      <c r="Q35" s="158"/>
    </row>
    <row r="36" spans="2:17" ht="11.45" customHeight="1" x14ac:dyDescent="0.2">
      <c r="B36" s="1685" t="s">
        <v>3797</v>
      </c>
      <c r="C36" s="1686"/>
      <c r="D36" s="1686"/>
      <c r="E36" s="1686"/>
      <c r="F36" s="1686"/>
      <c r="G36" s="1686"/>
      <c r="H36" s="1686"/>
      <c r="I36" s="100"/>
      <c r="J36" s="80"/>
      <c r="K36" s="80"/>
      <c r="L36" s="80"/>
      <c r="M36" s="96"/>
      <c r="N36" s="113"/>
      <c r="O36" s="95"/>
      <c r="P36" s="95"/>
      <c r="Q36" s="103"/>
    </row>
    <row r="37" spans="2:17" ht="11.45" customHeight="1" x14ac:dyDescent="0.2">
      <c r="B37" s="98" t="s">
        <v>2566</v>
      </c>
      <c r="C37" s="99"/>
      <c r="D37" s="99"/>
      <c r="E37" s="97"/>
      <c r="F37" s="97"/>
      <c r="G37" s="96"/>
      <c r="H37" s="96" t="s">
        <v>2764</v>
      </c>
      <c r="I37" s="97"/>
      <c r="J37" s="80"/>
      <c r="K37" s="80"/>
      <c r="L37" s="80"/>
      <c r="M37" s="96" t="s">
        <v>2568</v>
      </c>
      <c r="N37" s="97"/>
      <c r="O37" s="95"/>
      <c r="P37" s="95"/>
      <c r="Q37" s="103"/>
    </row>
    <row r="38" spans="2:17" ht="11.45" customHeight="1" x14ac:dyDescent="0.2">
      <c r="B38" s="98" t="s">
        <v>2762</v>
      </c>
      <c r="C38" s="99"/>
      <c r="D38" s="99"/>
      <c r="E38" s="97"/>
      <c r="F38" s="97"/>
      <c r="G38" s="96"/>
      <c r="H38" s="96" t="s">
        <v>2766</v>
      </c>
      <c r="I38" s="97"/>
      <c r="J38" s="80"/>
      <c r="K38" s="80"/>
      <c r="L38" s="80"/>
      <c r="M38" s="96" t="s">
        <v>2569</v>
      </c>
      <c r="N38" s="97"/>
      <c r="O38" s="95"/>
      <c r="P38" s="95"/>
      <c r="Q38" s="103"/>
    </row>
    <row r="39" spans="2:17" ht="11.45" customHeight="1" x14ac:dyDescent="0.2">
      <c r="B39" s="98" t="s">
        <v>2763</v>
      </c>
      <c r="C39" s="99"/>
      <c r="D39" s="99"/>
      <c r="E39" s="97"/>
      <c r="F39" s="97"/>
      <c r="G39" s="96"/>
      <c r="H39" s="96" t="s">
        <v>2765</v>
      </c>
      <c r="I39" s="97"/>
      <c r="J39" s="80"/>
      <c r="K39" s="80"/>
      <c r="L39" s="80"/>
      <c r="M39" s="96" t="s">
        <v>1682</v>
      </c>
      <c r="N39" s="97"/>
      <c r="O39" s="95"/>
      <c r="P39" s="95"/>
      <c r="Q39" s="103"/>
    </row>
    <row r="40" spans="2:17" ht="11.45" customHeight="1" x14ac:dyDescent="0.2">
      <c r="B40" s="98"/>
      <c r="C40" s="99"/>
      <c r="D40" s="99"/>
      <c r="E40" s="97"/>
      <c r="F40" s="97"/>
      <c r="G40" s="96"/>
      <c r="H40" s="96" t="s">
        <v>2567</v>
      </c>
      <c r="I40" s="171"/>
      <c r="J40" s="80"/>
      <c r="K40" s="80"/>
      <c r="L40" s="80"/>
      <c r="M40" s="96" t="s">
        <v>1683</v>
      </c>
      <c r="N40" s="97"/>
      <c r="O40" s="95"/>
      <c r="P40" s="95"/>
      <c r="Q40" s="103"/>
    </row>
    <row r="41" spans="2:17" ht="8.1" customHeight="1" x14ac:dyDescent="0.2">
      <c r="B41" s="3"/>
      <c r="C41" s="14"/>
      <c r="D41" s="14"/>
      <c r="E41" s="14"/>
      <c r="F41" s="14"/>
      <c r="G41" s="14"/>
      <c r="H41" s="288"/>
      <c r="I41" s="14"/>
      <c r="J41" s="14"/>
      <c r="K41" s="14"/>
      <c r="L41" s="14"/>
      <c r="M41" s="14"/>
      <c r="N41" s="14"/>
      <c r="O41" s="14"/>
      <c r="P41" s="14"/>
      <c r="Q41" s="4"/>
    </row>
    <row r="42" spans="2:17" ht="11.45" customHeight="1" x14ac:dyDescent="0.2">
      <c r="B42" s="1664" t="s">
        <v>2968</v>
      </c>
      <c r="C42" s="1616"/>
      <c r="D42" s="1616"/>
      <c r="E42" s="1616"/>
      <c r="F42" s="1616"/>
      <c r="G42" s="1616"/>
      <c r="H42" s="1616"/>
      <c r="I42" s="1616"/>
      <c r="J42" s="1616"/>
      <c r="K42" s="1616"/>
      <c r="L42" s="1616"/>
      <c r="M42" s="1616"/>
      <c r="N42" s="1616"/>
      <c r="O42" s="1616"/>
      <c r="P42" s="1616"/>
      <c r="Q42" s="1360"/>
    </row>
    <row r="43" spans="2:17" ht="11.45" customHeight="1" x14ac:dyDescent="0.2">
      <c r="B43" s="64"/>
      <c r="C43" s="75"/>
      <c r="D43" s="75"/>
      <c r="M43" s="75"/>
      <c r="N43" s="75"/>
      <c r="O43" s="75"/>
      <c r="P43" s="75"/>
      <c r="Q43" s="74"/>
    </row>
    <row r="44" spans="2:17" ht="11.45" customHeight="1" x14ac:dyDescent="0.2">
      <c r="B44" s="1382" t="s">
        <v>971</v>
      </c>
      <c r="C44" s="1689"/>
      <c r="D44" s="143" t="s">
        <v>2969</v>
      </c>
      <c r="E44" s="1687" t="s">
        <v>2972</v>
      </c>
      <c r="F44" s="1688"/>
      <c r="G44" s="1688"/>
      <c r="H44" s="1688"/>
      <c r="I44" s="1606" t="s">
        <v>2973</v>
      </c>
      <c r="J44" s="1603"/>
      <c r="K44" s="1603"/>
      <c r="L44" s="1328"/>
      <c r="M44" s="143" t="s">
        <v>973</v>
      </c>
      <c r="N44" s="143" t="s">
        <v>1086</v>
      </c>
      <c r="O44" s="143" t="s">
        <v>973</v>
      </c>
      <c r="P44" s="143" t="s">
        <v>1175</v>
      </c>
      <c r="Q44" s="143" t="s">
        <v>1175</v>
      </c>
    </row>
    <row r="45" spans="2:17" ht="11.45" customHeight="1" x14ac:dyDescent="0.2">
      <c r="B45" s="1690"/>
      <c r="C45" s="1691"/>
      <c r="D45" s="162" t="s">
        <v>2970</v>
      </c>
      <c r="E45" s="163" t="s">
        <v>2974</v>
      </c>
      <c r="F45" s="163" t="s">
        <v>1082</v>
      </c>
      <c r="G45" s="143" t="s">
        <v>1084</v>
      </c>
      <c r="H45" s="143" t="s">
        <v>2975</v>
      </c>
      <c r="I45" s="163" t="s">
        <v>2976</v>
      </c>
      <c r="J45" s="163" t="s">
        <v>1082</v>
      </c>
      <c r="K45" s="143" t="s">
        <v>1084</v>
      </c>
      <c r="L45" s="143" t="s">
        <v>2977</v>
      </c>
      <c r="M45" s="144" t="s">
        <v>972</v>
      </c>
      <c r="N45" s="144" t="s">
        <v>1087</v>
      </c>
      <c r="O45" s="144" t="s">
        <v>972</v>
      </c>
      <c r="P45" s="144" t="s">
        <v>1096</v>
      </c>
      <c r="Q45" s="144" t="s">
        <v>1100</v>
      </c>
    </row>
    <row r="46" spans="2:17" ht="11.45" customHeight="1" x14ac:dyDescent="0.2">
      <c r="B46" s="1692"/>
      <c r="C46" s="1693"/>
      <c r="D46" s="15" t="s">
        <v>2971</v>
      </c>
      <c r="E46" s="11"/>
      <c r="F46" s="165" t="s">
        <v>1083</v>
      </c>
      <c r="G46" s="15" t="s">
        <v>1085</v>
      </c>
      <c r="H46" s="15"/>
      <c r="I46" s="11"/>
      <c r="J46" s="15" t="s">
        <v>1083</v>
      </c>
      <c r="K46" s="15" t="s">
        <v>1085</v>
      </c>
      <c r="L46" s="15"/>
      <c r="M46" s="15" t="s">
        <v>1093</v>
      </c>
      <c r="N46" s="15" t="s">
        <v>59</v>
      </c>
      <c r="O46" s="15" t="s">
        <v>3790</v>
      </c>
      <c r="P46" s="11"/>
      <c r="Q46" s="15"/>
    </row>
    <row r="47" spans="2:17" ht="11.45" customHeight="1" x14ac:dyDescent="0.2">
      <c r="B47" s="1682" t="s">
        <v>481</v>
      </c>
      <c r="C47" s="1683"/>
      <c r="D47" s="88">
        <f>SkylightI!AH6</f>
        <v>0</v>
      </c>
      <c r="E47" s="164">
        <f>COS(D47*3.14/180)</f>
        <v>1</v>
      </c>
      <c r="F47" s="88" t="str">
        <f>SkylightI!BE6</f>
        <v/>
      </c>
      <c r="G47" s="146" t="str">
        <f>SkylightI!BH6</f>
        <v/>
      </c>
      <c r="H47" s="140" t="e">
        <f>E47*F47*G47</f>
        <v>#VALUE!</v>
      </c>
      <c r="I47" s="164">
        <f>SIN(D47*3.14/180)</f>
        <v>0</v>
      </c>
      <c r="J47" s="88" t="str">
        <f>SkylightI!AY6</f>
        <v/>
      </c>
      <c r="K47" s="121" t="str">
        <f>SkylightI!BB6</f>
        <v/>
      </c>
      <c r="L47" s="140" t="e">
        <f>I47*J47*K47</f>
        <v>#VALUE!</v>
      </c>
      <c r="M47" s="121" t="str">
        <f>O14</f>
        <v/>
      </c>
      <c r="N47" s="121">
        <v>1</v>
      </c>
      <c r="O47" s="121" t="e">
        <f>IF(M28&gt;0,M28,Q28)</f>
        <v>#VALUE!</v>
      </c>
      <c r="P47" s="128" t="str">
        <f>IF(E14=0,"",O47*G$10)</f>
        <v/>
      </c>
      <c r="Q47" s="128" t="str">
        <f>IF(E14=0,"",(H47+L47)*(M47/0.87)*N47+O47*H$10)</f>
        <v/>
      </c>
    </row>
    <row r="48" spans="2:17" ht="11.45" customHeight="1" x14ac:dyDescent="0.2">
      <c r="B48" s="1682" t="s">
        <v>482</v>
      </c>
      <c r="C48" s="1683"/>
      <c r="D48" s="88">
        <f>SkylightI!AH7</f>
        <v>0</v>
      </c>
      <c r="E48" s="164">
        <f>COS(D48*3.14/180)</f>
        <v>1</v>
      </c>
      <c r="F48" s="88" t="str">
        <f>SkylightI!BE7</f>
        <v/>
      </c>
      <c r="G48" s="146" t="str">
        <f>SkylightI!BH7</f>
        <v/>
      </c>
      <c r="H48" s="140" t="e">
        <f>E48*F48*G48</f>
        <v>#VALUE!</v>
      </c>
      <c r="I48" s="164">
        <f>SIN(D48*3.14/180)</f>
        <v>0</v>
      </c>
      <c r="J48" s="88" t="str">
        <f>SkylightI!AY7</f>
        <v/>
      </c>
      <c r="K48" s="121" t="str">
        <f>SkylightI!BB7</f>
        <v/>
      </c>
      <c r="L48" s="140" t="e">
        <f>I48*J48*K48</f>
        <v>#VALUE!</v>
      </c>
      <c r="M48" s="121" t="str">
        <f>O15</f>
        <v/>
      </c>
      <c r="N48" s="121">
        <v>1</v>
      </c>
      <c r="O48" s="121" t="e">
        <f>IF(M29&gt;0,M29,Q29)</f>
        <v>#VALUE!</v>
      </c>
      <c r="P48" s="128" t="str">
        <f>IF(E15=0,"",O48*G$10)</f>
        <v/>
      </c>
      <c r="Q48" s="128" t="str">
        <f>IF(E15=0,"",(H48+L48)*(M48/0.87)*N48+O48*H$10)</f>
        <v/>
      </c>
    </row>
    <row r="49" spans="2:17" ht="11.45" customHeight="1" x14ac:dyDescent="0.2">
      <c r="B49" s="1682" t="s">
        <v>483</v>
      </c>
      <c r="C49" s="1683"/>
      <c r="D49" s="88">
        <f>SkylightI!AH8</f>
        <v>0</v>
      </c>
      <c r="E49" s="164">
        <f>COS(D49*3.14/180)</f>
        <v>1</v>
      </c>
      <c r="F49" s="88" t="str">
        <f>SkylightI!BE8</f>
        <v/>
      </c>
      <c r="G49" s="146" t="str">
        <f>SkylightI!BH8</f>
        <v/>
      </c>
      <c r="H49" s="140" t="e">
        <f>E49*F49*G49</f>
        <v>#VALUE!</v>
      </c>
      <c r="I49" s="164">
        <f>SIN(D49*3.14/180)</f>
        <v>0</v>
      </c>
      <c r="J49" s="88" t="str">
        <f>SkylightI!AY8</f>
        <v/>
      </c>
      <c r="K49" s="121" t="str">
        <f>SkylightI!BB8</f>
        <v/>
      </c>
      <c r="L49" s="140" t="e">
        <f>I49*J49*K49</f>
        <v>#VALUE!</v>
      </c>
      <c r="M49" s="121" t="str">
        <f>O16</f>
        <v/>
      </c>
      <c r="N49" s="121">
        <v>1</v>
      </c>
      <c r="O49" s="121" t="e">
        <f>IF(M30&gt;0,M30,Q30)</f>
        <v>#VALUE!</v>
      </c>
      <c r="P49" s="128" t="str">
        <f>IF(E16=0,"",O49*G$10)</f>
        <v/>
      </c>
      <c r="Q49" s="128" t="str">
        <f>IF(E16=0,"",(H49+L49)*(M49/0.87)*N49+O49*H$10)</f>
        <v/>
      </c>
    </row>
    <row r="50" spans="2:17" ht="11.45" customHeight="1" x14ac:dyDescent="0.2">
      <c r="B50" s="1682" t="s">
        <v>484</v>
      </c>
      <c r="C50" s="1683"/>
      <c r="D50" s="88">
        <f>SkylightI!AH9</f>
        <v>0</v>
      </c>
      <c r="E50" s="164">
        <f>COS(D50*3.14/180)</f>
        <v>1</v>
      </c>
      <c r="F50" s="88" t="str">
        <f>SkylightI!BE9</f>
        <v/>
      </c>
      <c r="G50" s="146" t="str">
        <f>SkylightI!BH9</f>
        <v/>
      </c>
      <c r="H50" s="140" t="e">
        <f>E50*F50*G50</f>
        <v>#VALUE!</v>
      </c>
      <c r="I50" s="164">
        <f>SIN(D50*3.14/180)</f>
        <v>0</v>
      </c>
      <c r="J50" s="88" t="str">
        <f>SkylightI!AY9</f>
        <v/>
      </c>
      <c r="K50" s="121" t="str">
        <f>SkylightI!BB9</f>
        <v/>
      </c>
      <c r="L50" s="140" t="e">
        <f>I50*J50*K50</f>
        <v>#VALUE!</v>
      </c>
      <c r="M50" s="121" t="str">
        <f>O17</f>
        <v/>
      </c>
      <c r="N50" s="121">
        <v>1</v>
      </c>
      <c r="O50" s="121" t="e">
        <f>IF(M31&gt;0,M31,Q31)</f>
        <v>#VALUE!</v>
      </c>
      <c r="P50" s="128" t="str">
        <f>IF(E17=0,"",O50*G$10)</f>
        <v/>
      </c>
      <c r="Q50" s="128" t="str">
        <f>IF(E17=0,"",(H50+L50)*(M50/0.87)*N50+O50*H$10)</f>
        <v/>
      </c>
    </row>
    <row r="51" spans="2:17" ht="11.45" customHeight="1" x14ac:dyDescent="0.2">
      <c r="B51" s="1682" t="s">
        <v>485</v>
      </c>
      <c r="C51" s="1683"/>
      <c r="D51" s="88">
        <f>SkylightI!AH10</f>
        <v>0</v>
      </c>
      <c r="E51" s="164">
        <f>COS(D51*3.14/180)</f>
        <v>1</v>
      </c>
      <c r="F51" s="88" t="str">
        <f>SkylightI!BE10</f>
        <v/>
      </c>
      <c r="G51" s="146" t="str">
        <f>SkylightI!BH10</f>
        <v/>
      </c>
      <c r="H51" s="140" t="e">
        <f>E51*F51*G51</f>
        <v>#VALUE!</v>
      </c>
      <c r="I51" s="164">
        <f>SIN(D51*3.14/180)</f>
        <v>0</v>
      </c>
      <c r="J51" s="88" t="str">
        <f>SkylightI!AY10</f>
        <v/>
      </c>
      <c r="K51" s="121" t="str">
        <f>SkylightI!BB10</f>
        <v/>
      </c>
      <c r="L51" s="140" t="e">
        <f>I51*J51*K51</f>
        <v>#VALUE!</v>
      </c>
      <c r="M51" s="121" t="str">
        <f>O18</f>
        <v/>
      </c>
      <c r="N51" s="121">
        <v>1</v>
      </c>
      <c r="O51" s="121" t="e">
        <f>IF(M32&gt;0,M32,Q32)</f>
        <v>#VALUE!</v>
      </c>
      <c r="P51" s="128" t="str">
        <f>IF(E18=0,"",O51*G$10)</f>
        <v/>
      </c>
      <c r="Q51" s="128" t="str">
        <f>IF(E18=0,"",(H51+L51)*(M51/0.87)*N51+O51*H$10)</f>
        <v/>
      </c>
    </row>
    <row r="52" spans="2:17" ht="8.1" customHeight="1" x14ac:dyDescent="0.2">
      <c r="B52" s="154"/>
      <c r="C52" s="169"/>
      <c r="D52" s="169"/>
      <c r="E52" s="170"/>
      <c r="F52" s="166"/>
      <c r="G52" s="170"/>
      <c r="H52" s="157"/>
      <c r="I52" s="153"/>
      <c r="J52" s="166"/>
      <c r="K52" s="156"/>
      <c r="L52" s="156"/>
      <c r="M52" s="157"/>
      <c r="N52" s="157"/>
      <c r="O52" s="167"/>
      <c r="P52" s="157"/>
      <c r="Q52" s="168"/>
    </row>
    <row r="53" spans="2:17" ht="11.45" customHeight="1" x14ac:dyDescent="0.2">
      <c r="B53" s="1685" t="s">
        <v>2978</v>
      </c>
      <c r="C53" s="1686"/>
      <c r="D53" s="1686"/>
      <c r="E53" s="1686"/>
      <c r="F53" s="1686"/>
      <c r="G53" s="1686"/>
      <c r="H53" s="1686"/>
      <c r="I53" s="100"/>
      <c r="J53" s="80"/>
      <c r="K53" s="80"/>
      <c r="L53" s="80"/>
      <c r="M53" s="96"/>
      <c r="N53" s="113"/>
      <c r="O53" s="95"/>
      <c r="P53" s="95"/>
      <c r="Q53" s="103"/>
    </row>
    <row r="54" spans="2:17" ht="11.45" customHeight="1" x14ac:dyDescent="0.2">
      <c r="B54" s="1676" t="s">
        <v>3600</v>
      </c>
      <c r="C54" s="1677"/>
      <c r="D54" s="1677"/>
      <c r="E54" s="1677"/>
      <c r="F54" s="1677"/>
      <c r="G54" s="1677"/>
      <c r="H54" s="1678"/>
      <c r="J54" s="97" t="s">
        <v>3601</v>
      </c>
      <c r="K54" s="80"/>
      <c r="L54" s="80"/>
      <c r="M54" s="96"/>
      <c r="N54" s="97" t="s">
        <v>3603</v>
      </c>
      <c r="O54" s="172"/>
      <c r="P54" s="95"/>
      <c r="Q54" s="103"/>
    </row>
    <row r="55" spans="2:17" ht="11.45" customHeight="1" x14ac:dyDescent="0.2">
      <c r="B55" s="1679"/>
      <c r="C55" s="1677"/>
      <c r="D55" s="1677"/>
      <c r="E55" s="1677"/>
      <c r="F55" s="1677"/>
      <c r="G55" s="1677"/>
      <c r="H55" s="1678"/>
      <c r="J55" s="97" t="s">
        <v>3602</v>
      </c>
      <c r="K55" s="80"/>
      <c r="L55" s="80"/>
      <c r="M55" s="96"/>
      <c r="N55" s="97" t="s">
        <v>3624</v>
      </c>
      <c r="O55" s="172"/>
      <c r="P55" s="95"/>
      <c r="Q55" s="103"/>
    </row>
    <row r="56" spans="2:17" ht="11.45" customHeight="1" x14ac:dyDescent="0.2">
      <c r="B56" s="1679"/>
      <c r="C56" s="1677"/>
      <c r="D56" s="1677"/>
      <c r="E56" s="1677"/>
      <c r="F56" s="1677"/>
      <c r="G56" s="1677"/>
      <c r="H56" s="1678"/>
      <c r="I56" s="97"/>
      <c r="J56" s="80"/>
      <c r="K56" s="80"/>
      <c r="L56" s="80"/>
      <c r="M56" s="96"/>
      <c r="N56" s="97"/>
      <c r="O56" s="173" t="s">
        <v>3625</v>
      </c>
      <c r="P56" s="95"/>
      <c r="Q56" s="103"/>
    </row>
    <row r="57" spans="2:17" ht="11.45" customHeight="1" x14ac:dyDescent="0.2">
      <c r="B57" s="1679"/>
      <c r="C57" s="1677"/>
      <c r="D57" s="1677"/>
      <c r="E57" s="1677"/>
      <c r="F57" s="1677"/>
      <c r="G57" s="1677"/>
      <c r="H57" s="1678"/>
      <c r="I57" s="97"/>
      <c r="J57" s="80"/>
      <c r="K57" s="80"/>
      <c r="L57" s="80"/>
      <c r="M57" s="96"/>
      <c r="N57" s="97" t="s">
        <v>3626</v>
      </c>
      <c r="O57" s="172"/>
      <c r="P57" s="95"/>
      <c r="Q57" s="103"/>
    </row>
    <row r="58" spans="2:17" ht="8.1" customHeight="1" x14ac:dyDescent="0.2">
      <c r="B58" s="76"/>
      <c r="C58" s="113"/>
      <c r="D58" s="113"/>
      <c r="E58" s="125"/>
      <c r="F58" s="125"/>
      <c r="G58" s="125"/>
      <c r="H58" s="125"/>
      <c r="I58" s="125"/>
      <c r="J58" s="125"/>
      <c r="K58" s="126"/>
      <c r="L58" s="126"/>
      <c r="M58" s="113"/>
      <c r="N58" s="113"/>
      <c r="O58" s="113"/>
      <c r="P58" s="113"/>
      <c r="Q58" s="127"/>
    </row>
    <row r="59" spans="2:17" ht="11.45" customHeight="1" x14ac:dyDescent="0.2">
      <c r="B59" s="114" t="s">
        <v>3627</v>
      </c>
      <c r="C59" s="104"/>
      <c r="D59" s="104"/>
      <c r="E59" s="104"/>
      <c r="F59" s="104"/>
      <c r="G59" s="104"/>
      <c r="H59" s="104"/>
      <c r="I59" s="104"/>
      <c r="J59" s="104"/>
      <c r="K59" s="124"/>
      <c r="L59" s="104"/>
      <c r="M59" s="104"/>
      <c r="N59" s="104"/>
      <c r="O59" s="104"/>
      <c r="P59" s="104"/>
      <c r="Q59" s="105"/>
    </row>
    <row r="60" spans="2:17" ht="11.45" customHeight="1" x14ac:dyDescent="0.2">
      <c r="B60" s="59"/>
    </row>
    <row r="61" spans="2:17" ht="11.45" customHeight="1" x14ac:dyDescent="0.2">
      <c r="B61" s="55"/>
      <c r="C61" s="55"/>
      <c r="D61" s="55"/>
      <c r="M61" s="55"/>
      <c r="N61" s="55"/>
      <c r="O61" s="55"/>
      <c r="P61" s="55"/>
      <c r="Q61" s="55"/>
    </row>
    <row r="62" spans="2:17" ht="11.45" customHeight="1" x14ac:dyDescent="0.2">
      <c r="B62" s="55"/>
      <c r="C62" s="55"/>
      <c r="D62" s="55"/>
      <c r="M62" s="55"/>
      <c r="N62" s="55"/>
      <c r="O62" s="55"/>
      <c r="P62" s="55"/>
      <c r="Q62" s="55"/>
    </row>
    <row r="63" spans="2:17" ht="11.45" customHeight="1" x14ac:dyDescent="0.2">
      <c r="B63" s="55"/>
      <c r="C63" s="55"/>
      <c r="D63" s="55"/>
      <c r="M63" s="55"/>
      <c r="N63" s="55"/>
      <c r="O63" s="55"/>
      <c r="P63" s="55"/>
      <c r="Q63" s="55"/>
    </row>
    <row r="64" spans="2:17" ht="11.45" customHeight="1" x14ac:dyDescent="0.2">
      <c r="B64" s="55"/>
      <c r="C64" s="55"/>
      <c r="D64" s="55"/>
      <c r="M64" s="55"/>
      <c r="N64" s="55"/>
      <c r="O64" s="55"/>
      <c r="P64" s="55"/>
      <c r="Q64" s="55"/>
    </row>
    <row r="65" spans="2:17" ht="11.45" customHeight="1" x14ac:dyDescent="0.2">
      <c r="B65" s="55"/>
      <c r="C65" s="55"/>
      <c r="D65" s="55"/>
      <c r="M65" s="55"/>
      <c r="N65" s="55"/>
      <c r="O65" s="55"/>
      <c r="P65" s="55"/>
      <c r="Q65" s="55"/>
    </row>
    <row r="66" spans="2:17" ht="11.45" customHeight="1" x14ac:dyDescent="0.2">
      <c r="B66" s="55"/>
      <c r="C66" s="55"/>
      <c r="D66" s="55"/>
      <c r="Q66" s="55"/>
    </row>
  </sheetData>
  <mergeCells count="49">
    <mergeCell ref="B36:H36"/>
    <mergeCell ref="B28:D28"/>
    <mergeCell ref="B29:D29"/>
    <mergeCell ref="B30:D30"/>
    <mergeCell ref="B31:D31"/>
    <mergeCell ref="B33:Q34"/>
    <mergeCell ref="S10:U10"/>
    <mergeCell ref="S24:U24"/>
    <mergeCell ref="C14:D14"/>
    <mergeCell ref="C15:D15"/>
    <mergeCell ref="C16:D16"/>
    <mergeCell ref="C17:D17"/>
    <mergeCell ref="C18:D18"/>
    <mergeCell ref="G11:I11"/>
    <mergeCell ref="N11:O11"/>
    <mergeCell ref="P11:Q11"/>
    <mergeCell ref="B42:Q42"/>
    <mergeCell ref="B49:C49"/>
    <mergeCell ref="B50:C50"/>
    <mergeCell ref="B51:C51"/>
    <mergeCell ref="E44:H44"/>
    <mergeCell ref="B44:C46"/>
    <mergeCell ref="B47:C47"/>
    <mergeCell ref="B2:Q3"/>
    <mergeCell ref="B5:Q5"/>
    <mergeCell ref="B6:Q6"/>
    <mergeCell ref="B7:Q7"/>
    <mergeCell ref="B54:H57"/>
    <mergeCell ref="B22:Q22"/>
    <mergeCell ref="B23:Q23"/>
    <mergeCell ref="B24:Q24"/>
    <mergeCell ref="N25:P25"/>
    <mergeCell ref="B48:C48"/>
    <mergeCell ref="I25:J25"/>
    <mergeCell ref="K25:L25"/>
    <mergeCell ref="B32:D32"/>
    <mergeCell ref="P12:Q12"/>
    <mergeCell ref="B53:H53"/>
    <mergeCell ref="I44:L44"/>
    <mergeCell ref="B9:D9"/>
    <mergeCell ref="B10:D10"/>
    <mergeCell ref="B11:D13"/>
    <mergeCell ref="B25:D27"/>
    <mergeCell ref="B19:Q20"/>
    <mergeCell ref="P10:Q10"/>
    <mergeCell ref="N10:O10"/>
    <mergeCell ref="J10:M10"/>
    <mergeCell ref="E25:F25"/>
    <mergeCell ref="E26:F26"/>
  </mergeCells>
  <phoneticPr fontId="2" type="noConversion"/>
  <printOptions horizontalCentered="1"/>
  <pageMargins left="0" right="0" top="0" bottom="0" header="0" footer="0"/>
  <pageSetup scale="9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tabColor indexed="15"/>
  </sheetPr>
  <dimension ref="B1:BK25"/>
  <sheetViews>
    <sheetView showRowColHeaders="0" workbookViewId="0">
      <selection activeCell="C5" sqref="C5:U5"/>
    </sheetView>
  </sheetViews>
  <sheetFormatPr defaultColWidth="2.7109375" defaultRowHeight="12.95" customHeight="1" x14ac:dyDescent="0.2"/>
  <cols>
    <col min="1" max="24" width="2.7109375" style="1016" customWidth="1"/>
    <col min="25" max="25" width="1.7109375" style="1016" customWidth="1"/>
    <col min="26" max="38" width="2.7109375" style="1016" customWidth="1"/>
    <col min="39" max="39" width="1.7109375" style="1016" customWidth="1"/>
    <col min="40" max="49" width="2.7109375" style="1016" customWidth="1"/>
    <col min="50" max="63" width="2.7109375" style="1016" hidden="1" customWidth="1"/>
    <col min="64" max="16384" width="2.7109375" style="1016"/>
  </cols>
  <sheetData>
    <row r="1" spans="2:63" ht="12.95" customHeight="1" thickBot="1" x14ac:dyDescent="0.25"/>
    <row r="2" spans="2:63" ht="12.95" customHeight="1" thickBot="1" x14ac:dyDescent="0.25">
      <c r="C2" s="1533" t="s">
        <v>1535</v>
      </c>
      <c r="D2" s="1534"/>
      <c r="E2" s="1534"/>
      <c r="F2" s="1534"/>
      <c r="G2" s="1534"/>
      <c r="H2" s="1534"/>
      <c r="I2" s="1534"/>
      <c r="J2" s="1534"/>
      <c r="K2" s="1534"/>
      <c r="L2" s="1534"/>
      <c r="M2" s="1534"/>
      <c r="N2" s="1534"/>
      <c r="O2" s="1534"/>
      <c r="P2" s="1534"/>
      <c r="Q2" s="1534"/>
      <c r="R2" s="1534"/>
      <c r="S2" s="1534"/>
      <c r="T2" s="1534"/>
      <c r="U2" s="1534"/>
      <c r="V2" s="1534"/>
      <c r="W2" s="1534"/>
      <c r="X2" s="1534"/>
      <c r="Y2" s="1534"/>
      <c r="Z2" s="1534"/>
      <c r="AA2" s="1534"/>
      <c r="AB2" s="1534"/>
      <c r="AC2" s="1534"/>
      <c r="AD2" s="1534"/>
      <c r="AE2" s="1534"/>
      <c r="AF2" s="1534"/>
      <c r="AG2" s="1534"/>
      <c r="AH2" s="1534"/>
      <c r="AI2" s="1534"/>
      <c r="AJ2" s="1534"/>
      <c r="AK2" s="1534"/>
      <c r="AL2" s="1534"/>
      <c r="AM2" s="1534"/>
      <c r="AN2" s="1534"/>
      <c r="AO2" s="1534"/>
      <c r="AP2" s="1534"/>
      <c r="AQ2" s="1534"/>
      <c r="AR2" s="1534"/>
      <c r="AS2" s="1534"/>
      <c r="AT2" s="1534"/>
      <c r="AU2" s="1535"/>
    </row>
    <row r="3" spans="2:63" ht="12.95" customHeight="1" x14ac:dyDescent="0.2">
      <c r="C3" s="1740" t="s">
        <v>2507</v>
      </c>
      <c r="D3" s="1726"/>
      <c r="E3" s="1726"/>
      <c r="F3" s="1726"/>
      <c r="G3" s="1726"/>
      <c r="H3" s="1726"/>
      <c r="I3" s="1726"/>
      <c r="J3" s="1726"/>
      <c r="K3" s="1726"/>
      <c r="L3" s="1726"/>
      <c r="M3" s="1726"/>
      <c r="N3" s="1726"/>
      <c r="O3" s="1726"/>
      <c r="P3" s="1726"/>
      <c r="Q3" s="1726"/>
      <c r="R3" s="1726"/>
      <c r="S3" s="1726"/>
      <c r="T3" s="1726"/>
      <c r="U3" s="1727"/>
      <c r="V3" s="1731" t="s">
        <v>319</v>
      </c>
      <c r="W3" s="1733"/>
      <c r="X3" s="1725" t="s">
        <v>3618</v>
      </c>
      <c r="Y3" s="1726"/>
      <c r="Z3" s="1727"/>
      <c r="AA3" s="1731" t="s">
        <v>1029</v>
      </c>
      <c r="AB3" s="1732"/>
      <c r="AC3" s="1732"/>
      <c r="AD3" s="1733"/>
      <c r="AE3" s="1731" t="s">
        <v>2518</v>
      </c>
      <c r="AF3" s="1732"/>
      <c r="AG3" s="1732"/>
      <c r="AH3" s="1733"/>
      <c r="AI3" s="1731" t="s">
        <v>1185</v>
      </c>
      <c r="AJ3" s="1732"/>
      <c r="AK3" s="1732"/>
      <c r="AL3" s="1733"/>
      <c r="AM3" s="1731" t="s">
        <v>1025</v>
      </c>
      <c r="AN3" s="1732"/>
      <c r="AO3" s="1732"/>
      <c r="AP3" s="1732"/>
      <c r="AQ3" s="1733"/>
      <c r="AR3" s="1734" t="s">
        <v>433</v>
      </c>
      <c r="AS3" s="1541"/>
      <c r="AT3" s="1541"/>
      <c r="AU3" s="1735"/>
    </row>
    <row r="4" spans="2:63" ht="12.95" customHeight="1" x14ac:dyDescent="0.2">
      <c r="C4" s="1744"/>
      <c r="D4" s="1729"/>
      <c r="E4" s="1729"/>
      <c r="F4" s="1729"/>
      <c r="G4" s="1729"/>
      <c r="H4" s="1729"/>
      <c r="I4" s="1729"/>
      <c r="J4" s="1729"/>
      <c r="K4" s="1729"/>
      <c r="L4" s="1729"/>
      <c r="M4" s="1729"/>
      <c r="N4" s="1729"/>
      <c r="O4" s="1729"/>
      <c r="P4" s="1729"/>
      <c r="Q4" s="1729"/>
      <c r="R4" s="1729"/>
      <c r="S4" s="1729"/>
      <c r="T4" s="1729"/>
      <c r="U4" s="1730"/>
      <c r="V4" s="1728"/>
      <c r="W4" s="1730"/>
      <c r="X4" s="1728"/>
      <c r="Y4" s="1729"/>
      <c r="Z4" s="1730"/>
      <c r="AA4" s="1736" t="s">
        <v>2519</v>
      </c>
      <c r="AB4" s="1737"/>
      <c r="AC4" s="1736" t="s">
        <v>2520</v>
      </c>
      <c r="AD4" s="1737"/>
      <c r="AE4" s="1736" t="s">
        <v>2519</v>
      </c>
      <c r="AF4" s="1737"/>
      <c r="AG4" s="1736" t="s">
        <v>2520</v>
      </c>
      <c r="AH4" s="1737"/>
      <c r="AI4" s="1728" t="s">
        <v>3765</v>
      </c>
      <c r="AJ4" s="1729"/>
      <c r="AK4" s="1729"/>
      <c r="AL4" s="1730"/>
      <c r="AM4" s="1728" t="s">
        <v>2101</v>
      </c>
      <c r="AN4" s="1729"/>
      <c r="AO4" s="1729"/>
      <c r="AP4" s="1729"/>
      <c r="AQ4" s="1730"/>
      <c r="AR4" s="1523" t="s">
        <v>1081</v>
      </c>
      <c r="AS4" s="1524"/>
      <c r="AT4" s="1524"/>
      <c r="AU4" s="1542"/>
      <c r="AX4" s="1738" t="s">
        <v>729</v>
      </c>
      <c r="AY4" s="1738"/>
      <c r="AZ4" s="1724" t="s">
        <v>3497</v>
      </c>
      <c r="BA4" s="1724"/>
      <c r="BB4" s="1724"/>
      <c r="BC4" s="1724" t="s">
        <v>1093</v>
      </c>
      <c r="BD4" s="1724"/>
      <c r="BE4" s="1724"/>
      <c r="BF4" s="1724" t="s">
        <v>1082</v>
      </c>
      <c r="BG4" s="1724"/>
      <c r="BH4" s="1724"/>
      <c r="BI4" s="1724" t="s">
        <v>1084</v>
      </c>
      <c r="BJ4" s="1724"/>
      <c r="BK4" s="1724"/>
    </row>
    <row r="5" spans="2:63" ht="12.95" customHeight="1" x14ac:dyDescent="0.2">
      <c r="B5" s="18" t="s">
        <v>481</v>
      </c>
      <c r="C5" s="1519"/>
      <c r="D5" s="1459"/>
      <c r="E5" s="1459"/>
      <c r="F5" s="1459"/>
      <c r="G5" s="1459"/>
      <c r="H5" s="1459"/>
      <c r="I5" s="1459"/>
      <c r="J5" s="1459"/>
      <c r="K5" s="1459"/>
      <c r="L5" s="1459"/>
      <c r="M5" s="1459"/>
      <c r="N5" s="1459"/>
      <c r="O5" s="1459"/>
      <c r="P5" s="1459"/>
      <c r="Q5" s="1459"/>
      <c r="R5" s="1459"/>
      <c r="S5" s="1459"/>
      <c r="T5" s="1459"/>
      <c r="U5" s="1460"/>
      <c r="V5" s="1552"/>
      <c r="W5" s="1554"/>
      <c r="X5" s="1713"/>
      <c r="Y5" s="1713"/>
      <c r="Z5" s="1713"/>
      <c r="AA5" s="1716"/>
      <c r="AB5" s="1717"/>
      <c r="AC5" s="1716"/>
      <c r="AD5" s="1717"/>
      <c r="AE5" s="1716"/>
      <c r="AF5" s="1717"/>
      <c r="AG5" s="1716"/>
      <c r="AH5" s="1717"/>
      <c r="AI5" s="1711" t="s">
        <v>3748</v>
      </c>
      <c r="AJ5" s="1709"/>
      <c r="AK5" s="1709"/>
      <c r="AL5" s="1710"/>
      <c r="AM5" s="1711" t="s">
        <v>3748</v>
      </c>
      <c r="AN5" s="1709"/>
      <c r="AO5" s="1709"/>
      <c r="AP5" s="1709"/>
      <c r="AQ5" s="1710"/>
      <c r="AR5" s="1718" t="s">
        <v>4131</v>
      </c>
      <c r="AS5" s="1719"/>
      <c r="AT5" s="1719"/>
      <c r="AU5" s="1720"/>
      <c r="AX5" s="1707">
        <f>((AA5+(AC5/12))*((AE5+(AG5/12))))*V5</f>
        <v>0</v>
      </c>
      <c r="AY5" s="1708"/>
      <c r="AZ5" s="1712" t="str">
        <f>IF(C5="","",VLOOKUP(C5,Database!$AD$4:$AE$15,2,FALSE))</f>
        <v/>
      </c>
      <c r="BA5" s="1712"/>
      <c r="BB5" s="1712"/>
      <c r="BC5" s="1712" t="str">
        <f>IF(C5="","",VLOOKUP(C5,Database!$AD$4:$AH$15,5,FALSE))</f>
        <v/>
      </c>
      <c r="BD5" s="1712"/>
      <c r="BE5" s="1712"/>
      <c r="BF5" s="1705" t="str">
        <f>IF(C5="","",VLOOKUP(X5,KW!$A$65:$J$73,10))</f>
        <v/>
      </c>
      <c r="BG5" s="1705"/>
      <c r="BH5" s="1705"/>
      <c r="BI5" s="1704" t="str">
        <f>IF(C5="","",VLOOKUP(X5,KW!$A$110:$B$118,2,FALSE))</f>
        <v/>
      </c>
      <c r="BJ5" s="1704"/>
      <c r="BK5" s="1704"/>
    </row>
    <row r="6" spans="2:63" ht="12.95" customHeight="1" x14ac:dyDescent="0.2">
      <c r="B6" s="18" t="s">
        <v>482</v>
      </c>
      <c r="C6" s="1519"/>
      <c r="D6" s="1459"/>
      <c r="E6" s="1459"/>
      <c r="F6" s="1459"/>
      <c r="G6" s="1459"/>
      <c r="H6" s="1459"/>
      <c r="I6" s="1459"/>
      <c r="J6" s="1459"/>
      <c r="K6" s="1459"/>
      <c r="L6" s="1459"/>
      <c r="M6" s="1459"/>
      <c r="N6" s="1459"/>
      <c r="O6" s="1459"/>
      <c r="P6" s="1459"/>
      <c r="Q6" s="1459"/>
      <c r="R6" s="1459"/>
      <c r="S6" s="1459"/>
      <c r="T6" s="1459"/>
      <c r="U6" s="1460"/>
      <c r="V6" s="1552"/>
      <c r="W6" s="1554"/>
      <c r="X6" s="1713"/>
      <c r="Y6" s="1713"/>
      <c r="Z6" s="1713"/>
      <c r="AA6" s="1716"/>
      <c r="AB6" s="1717"/>
      <c r="AC6" s="1716"/>
      <c r="AD6" s="1717"/>
      <c r="AE6" s="1716"/>
      <c r="AF6" s="1717"/>
      <c r="AG6" s="1716"/>
      <c r="AH6" s="1717"/>
      <c r="AI6" s="1711" t="s">
        <v>3748</v>
      </c>
      <c r="AJ6" s="1709"/>
      <c r="AK6" s="1709"/>
      <c r="AL6" s="1710"/>
      <c r="AM6" s="1711" t="s">
        <v>3748</v>
      </c>
      <c r="AN6" s="1709"/>
      <c r="AO6" s="1709"/>
      <c r="AP6" s="1709"/>
      <c r="AQ6" s="1710"/>
      <c r="AR6" s="1721"/>
      <c r="AS6" s="1722"/>
      <c r="AT6" s="1722"/>
      <c r="AU6" s="1723"/>
      <c r="AX6" s="1707">
        <f t="shared" ref="AX6:AX12" si="0">((AA6+(AC6/12))*((AE6+(AG6/12))))*V6</f>
        <v>0</v>
      </c>
      <c r="AY6" s="1708"/>
      <c r="AZ6" s="1712" t="str">
        <f>IF(C6="","",VLOOKUP(C6,Database!$AD$4:$AE$15,2,FALSE))</f>
        <v/>
      </c>
      <c r="BA6" s="1712"/>
      <c r="BB6" s="1712"/>
      <c r="BC6" s="1712" t="str">
        <f>IF(C6="","",VLOOKUP(C6,Database!$AD$4:$AH$15,5,FALSE))</f>
        <v/>
      </c>
      <c r="BD6" s="1712"/>
      <c r="BE6" s="1712"/>
      <c r="BF6" s="1705" t="str">
        <f>IF(C6="","",VLOOKUP(X6,KW!$A$65:$J$73,10))</f>
        <v/>
      </c>
      <c r="BG6" s="1705"/>
      <c r="BH6" s="1705"/>
      <c r="BI6" s="1704" t="str">
        <f>IF(C6="","",VLOOKUP(X6,KW!$A$110:$B$118,2,FALSE))</f>
        <v/>
      </c>
      <c r="BJ6" s="1704"/>
      <c r="BK6" s="1704"/>
    </row>
    <row r="7" spans="2:63" ht="12.95" customHeight="1" x14ac:dyDescent="0.2">
      <c r="B7" s="18" t="s">
        <v>483</v>
      </c>
      <c r="C7" s="1519"/>
      <c r="D7" s="1459"/>
      <c r="E7" s="1459"/>
      <c r="F7" s="1459"/>
      <c r="G7" s="1459"/>
      <c r="H7" s="1459"/>
      <c r="I7" s="1459"/>
      <c r="J7" s="1459"/>
      <c r="K7" s="1459"/>
      <c r="L7" s="1459"/>
      <c r="M7" s="1459"/>
      <c r="N7" s="1459"/>
      <c r="O7" s="1459"/>
      <c r="P7" s="1459"/>
      <c r="Q7" s="1459"/>
      <c r="R7" s="1459"/>
      <c r="S7" s="1459"/>
      <c r="T7" s="1459"/>
      <c r="U7" s="1460"/>
      <c r="V7" s="1552"/>
      <c r="W7" s="1554"/>
      <c r="X7" s="1713"/>
      <c r="Y7" s="1713"/>
      <c r="Z7" s="1713"/>
      <c r="AA7" s="1716"/>
      <c r="AB7" s="1717"/>
      <c r="AC7" s="1716"/>
      <c r="AD7" s="1717"/>
      <c r="AE7" s="1716"/>
      <c r="AF7" s="1717"/>
      <c r="AG7" s="1716"/>
      <c r="AH7" s="1717"/>
      <c r="AI7" s="1711" t="s">
        <v>3748</v>
      </c>
      <c r="AJ7" s="1709"/>
      <c r="AK7" s="1709"/>
      <c r="AL7" s="1710"/>
      <c r="AM7" s="1711" t="s">
        <v>3748</v>
      </c>
      <c r="AN7" s="1709"/>
      <c r="AO7" s="1709"/>
      <c r="AP7" s="1709"/>
      <c r="AQ7" s="1710"/>
      <c r="AR7" s="1721"/>
      <c r="AS7" s="1722"/>
      <c r="AT7" s="1722"/>
      <c r="AU7" s="1723"/>
      <c r="AX7" s="1707">
        <f t="shared" si="0"/>
        <v>0</v>
      </c>
      <c r="AY7" s="1708"/>
      <c r="AZ7" s="1712" t="str">
        <f>IF(C7="","",VLOOKUP(C7,Database!$AD$4:$AE$15,2,FALSE))</f>
        <v/>
      </c>
      <c r="BA7" s="1712"/>
      <c r="BB7" s="1712"/>
      <c r="BC7" s="1712" t="str">
        <f>IF(C7="","",VLOOKUP(C7,Database!$AD$4:$AH$15,5,FALSE))</f>
        <v/>
      </c>
      <c r="BD7" s="1712"/>
      <c r="BE7" s="1712"/>
      <c r="BF7" s="1705" t="str">
        <f>IF(C7="","",VLOOKUP(X7,KW!$A$65:$J$73,10))</f>
        <v/>
      </c>
      <c r="BG7" s="1705"/>
      <c r="BH7" s="1705"/>
      <c r="BI7" s="1704" t="str">
        <f>IF(C7="","",VLOOKUP(X7,KW!$A$110:$B$118,2,FALSE))</f>
        <v/>
      </c>
      <c r="BJ7" s="1704"/>
      <c r="BK7" s="1704"/>
    </row>
    <row r="8" spans="2:63" ht="12.95" customHeight="1" x14ac:dyDescent="0.2">
      <c r="B8" s="18" t="s">
        <v>484</v>
      </c>
      <c r="C8" s="1519"/>
      <c r="D8" s="1459"/>
      <c r="E8" s="1459"/>
      <c r="F8" s="1459"/>
      <c r="G8" s="1459"/>
      <c r="H8" s="1459"/>
      <c r="I8" s="1459"/>
      <c r="J8" s="1459"/>
      <c r="K8" s="1459"/>
      <c r="L8" s="1459"/>
      <c r="M8" s="1459"/>
      <c r="N8" s="1459"/>
      <c r="O8" s="1459"/>
      <c r="P8" s="1459"/>
      <c r="Q8" s="1459"/>
      <c r="R8" s="1459"/>
      <c r="S8" s="1459"/>
      <c r="T8" s="1459"/>
      <c r="U8" s="1460"/>
      <c r="V8" s="1552"/>
      <c r="W8" s="1554"/>
      <c r="X8" s="1713"/>
      <c r="Y8" s="1713"/>
      <c r="Z8" s="1713"/>
      <c r="AA8" s="1716"/>
      <c r="AB8" s="1717"/>
      <c r="AC8" s="1716"/>
      <c r="AD8" s="1717"/>
      <c r="AE8" s="1716"/>
      <c r="AF8" s="1717"/>
      <c r="AG8" s="1716"/>
      <c r="AH8" s="1717"/>
      <c r="AI8" s="1711" t="s">
        <v>3748</v>
      </c>
      <c r="AJ8" s="1709"/>
      <c r="AK8" s="1709"/>
      <c r="AL8" s="1710"/>
      <c r="AM8" s="1711" t="s">
        <v>3748</v>
      </c>
      <c r="AN8" s="1709"/>
      <c r="AO8" s="1709"/>
      <c r="AP8" s="1709"/>
      <c r="AQ8" s="1710"/>
      <c r="AR8" s="1721"/>
      <c r="AS8" s="1722"/>
      <c r="AT8" s="1722"/>
      <c r="AU8" s="1723"/>
      <c r="AX8" s="1707">
        <f t="shared" si="0"/>
        <v>0</v>
      </c>
      <c r="AY8" s="1708"/>
      <c r="AZ8" s="1712" t="str">
        <f>IF(C8="","",VLOOKUP(C8,Database!$AD$4:$AE$15,2,FALSE))</f>
        <v/>
      </c>
      <c r="BA8" s="1712"/>
      <c r="BB8" s="1712"/>
      <c r="BC8" s="1712" t="str">
        <f>IF(C8="","",VLOOKUP(C8,Database!$AD$4:$AH$15,5,FALSE))</f>
        <v/>
      </c>
      <c r="BD8" s="1712"/>
      <c r="BE8" s="1712"/>
      <c r="BF8" s="1705" t="str">
        <f>IF(C8="","",VLOOKUP(X8,KW!$A$65:$J$73,10))</f>
        <v/>
      </c>
      <c r="BG8" s="1705"/>
      <c r="BH8" s="1705"/>
      <c r="BI8" s="1704" t="str">
        <f>IF(C8="","",VLOOKUP(X8,KW!$A$110:$B$118,2,FALSE))</f>
        <v/>
      </c>
      <c r="BJ8" s="1704"/>
      <c r="BK8" s="1704"/>
    </row>
    <row r="9" spans="2:63" ht="12.95" customHeight="1" x14ac:dyDescent="0.2">
      <c r="B9" s="18" t="s">
        <v>485</v>
      </c>
      <c r="C9" s="1519"/>
      <c r="D9" s="1459"/>
      <c r="E9" s="1459"/>
      <c r="F9" s="1459"/>
      <c r="G9" s="1459"/>
      <c r="H9" s="1459"/>
      <c r="I9" s="1459"/>
      <c r="J9" s="1459"/>
      <c r="K9" s="1459"/>
      <c r="L9" s="1459"/>
      <c r="M9" s="1459"/>
      <c r="N9" s="1459"/>
      <c r="O9" s="1459"/>
      <c r="P9" s="1459"/>
      <c r="Q9" s="1459"/>
      <c r="R9" s="1459"/>
      <c r="S9" s="1459"/>
      <c r="T9" s="1459"/>
      <c r="U9" s="1460"/>
      <c r="V9" s="1552"/>
      <c r="W9" s="1554"/>
      <c r="X9" s="1713"/>
      <c r="Y9" s="1713"/>
      <c r="Z9" s="1713"/>
      <c r="AA9" s="1716"/>
      <c r="AB9" s="1717"/>
      <c r="AC9" s="1716"/>
      <c r="AD9" s="1717"/>
      <c r="AE9" s="1716"/>
      <c r="AF9" s="1717"/>
      <c r="AG9" s="1716"/>
      <c r="AH9" s="1717"/>
      <c r="AI9" s="1711" t="s">
        <v>3748</v>
      </c>
      <c r="AJ9" s="1709"/>
      <c r="AK9" s="1709"/>
      <c r="AL9" s="1710"/>
      <c r="AM9" s="1711" t="s">
        <v>3748</v>
      </c>
      <c r="AN9" s="1709"/>
      <c r="AO9" s="1709"/>
      <c r="AP9" s="1709"/>
      <c r="AQ9" s="1710"/>
      <c r="AR9" s="1721"/>
      <c r="AS9" s="1722"/>
      <c r="AT9" s="1722"/>
      <c r="AU9" s="1723"/>
      <c r="AX9" s="1707">
        <f t="shared" si="0"/>
        <v>0</v>
      </c>
      <c r="AY9" s="1708"/>
      <c r="AZ9" s="1712" t="str">
        <f>IF(C9="","",VLOOKUP(C9,Database!$AD$4:$AE$15,2,FALSE))</f>
        <v/>
      </c>
      <c r="BA9" s="1712"/>
      <c r="BB9" s="1712"/>
      <c r="BC9" s="1712" t="str">
        <f>IF(C9="","",VLOOKUP(C9,Database!$AD$4:$AH$15,5,FALSE))</f>
        <v/>
      </c>
      <c r="BD9" s="1712"/>
      <c r="BE9" s="1712"/>
      <c r="BF9" s="1705" t="str">
        <f>IF(C9="","",VLOOKUP(X9,KW!$A$65:$J$73,10))</f>
        <v/>
      </c>
      <c r="BG9" s="1705"/>
      <c r="BH9" s="1705"/>
      <c r="BI9" s="1704" t="str">
        <f>IF(C9="","",VLOOKUP(X9,KW!$A$110:$B$118,2,FALSE))</f>
        <v/>
      </c>
      <c r="BJ9" s="1704"/>
      <c r="BK9" s="1704"/>
    </row>
    <row r="10" spans="2:63" ht="12.95" customHeight="1" x14ac:dyDescent="0.2">
      <c r="B10" s="18" t="s">
        <v>486</v>
      </c>
      <c r="C10" s="1519"/>
      <c r="D10" s="1459"/>
      <c r="E10" s="1459"/>
      <c r="F10" s="1459"/>
      <c r="G10" s="1459"/>
      <c r="H10" s="1459"/>
      <c r="I10" s="1459"/>
      <c r="J10" s="1459"/>
      <c r="K10" s="1459"/>
      <c r="L10" s="1459"/>
      <c r="M10" s="1459"/>
      <c r="N10" s="1459"/>
      <c r="O10" s="1459"/>
      <c r="P10" s="1459"/>
      <c r="Q10" s="1459"/>
      <c r="R10" s="1459"/>
      <c r="S10" s="1459"/>
      <c r="T10" s="1459"/>
      <c r="U10" s="1460"/>
      <c r="V10" s="1552"/>
      <c r="W10" s="1554"/>
      <c r="X10" s="1713"/>
      <c r="Y10" s="1713"/>
      <c r="Z10" s="1713"/>
      <c r="AA10" s="1716"/>
      <c r="AB10" s="1717"/>
      <c r="AC10" s="1716"/>
      <c r="AD10" s="1717"/>
      <c r="AE10" s="1716"/>
      <c r="AF10" s="1717"/>
      <c r="AG10" s="1716"/>
      <c r="AH10" s="1717"/>
      <c r="AI10" s="1711" t="s">
        <v>3748</v>
      </c>
      <c r="AJ10" s="1709"/>
      <c r="AK10" s="1709"/>
      <c r="AL10" s="1710"/>
      <c r="AM10" s="1711" t="s">
        <v>3748</v>
      </c>
      <c r="AN10" s="1709"/>
      <c r="AO10" s="1709"/>
      <c r="AP10" s="1709"/>
      <c r="AQ10" s="1710"/>
      <c r="AR10" s="1721"/>
      <c r="AS10" s="1722"/>
      <c r="AT10" s="1722"/>
      <c r="AU10" s="1723"/>
      <c r="AX10" s="1707">
        <f t="shared" si="0"/>
        <v>0</v>
      </c>
      <c r="AY10" s="1708"/>
      <c r="AZ10" s="1712" t="str">
        <f>IF(C10="","",VLOOKUP(C10,Database!$AD$4:$AE$15,2,FALSE))</f>
        <v/>
      </c>
      <c r="BA10" s="1712"/>
      <c r="BB10" s="1712"/>
      <c r="BC10" s="1712" t="str">
        <f>IF(C10="","",VLOOKUP(C10,Database!$AD$4:$AH$15,5,FALSE))</f>
        <v/>
      </c>
      <c r="BD10" s="1712"/>
      <c r="BE10" s="1712"/>
      <c r="BF10" s="1705" t="str">
        <f>IF(C10="","",VLOOKUP(X10,KW!$A$65:$J$73,10))</f>
        <v/>
      </c>
      <c r="BG10" s="1705"/>
      <c r="BH10" s="1705"/>
      <c r="BI10" s="1704" t="str">
        <f>IF(C10="","",VLOOKUP(X10,KW!$A$110:$B$118,2,FALSE))</f>
        <v/>
      </c>
      <c r="BJ10" s="1704"/>
      <c r="BK10" s="1704"/>
    </row>
    <row r="11" spans="2:63" ht="12.95" customHeight="1" x14ac:dyDescent="0.2">
      <c r="B11" s="18" t="s">
        <v>487</v>
      </c>
      <c r="C11" s="1519"/>
      <c r="D11" s="1459"/>
      <c r="E11" s="1459"/>
      <c r="F11" s="1459"/>
      <c r="G11" s="1459"/>
      <c r="H11" s="1459"/>
      <c r="I11" s="1459"/>
      <c r="J11" s="1459"/>
      <c r="K11" s="1459"/>
      <c r="L11" s="1459"/>
      <c r="M11" s="1459"/>
      <c r="N11" s="1459"/>
      <c r="O11" s="1459"/>
      <c r="P11" s="1459"/>
      <c r="Q11" s="1459"/>
      <c r="R11" s="1459"/>
      <c r="S11" s="1459"/>
      <c r="T11" s="1459"/>
      <c r="U11" s="1460"/>
      <c r="V11" s="1552"/>
      <c r="W11" s="1554"/>
      <c r="X11" s="1713"/>
      <c r="Y11" s="1713"/>
      <c r="Z11" s="1713"/>
      <c r="AA11" s="1716"/>
      <c r="AB11" s="1717"/>
      <c r="AC11" s="1716"/>
      <c r="AD11" s="1717"/>
      <c r="AE11" s="1716"/>
      <c r="AF11" s="1717"/>
      <c r="AG11" s="1716"/>
      <c r="AH11" s="1717"/>
      <c r="AI11" s="1711" t="s">
        <v>3748</v>
      </c>
      <c r="AJ11" s="1709"/>
      <c r="AK11" s="1709"/>
      <c r="AL11" s="1710"/>
      <c r="AM11" s="1711" t="s">
        <v>3748</v>
      </c>
      <c r="AN11" s="1709"/>
      <c r="AO11" s="1709"/>
      <c r="AP11" s="1709"/>
      <c r="AQ11" s="1710"/>
      <c r="AR11" s="1721"/>
      <c r="AS11" s="1722"/>
      <c r="AT11" s="1722"/>
      <c r="AU11" s="1723"/>
      <c r="AX11" s="1707">
        <f t="shared" si="0"/>
        <v>0</v>
      </c>
      <c r="AY11" s="1708"/>
      <c r="AZ11" s="1712" t="str">
        <f>IF(C11="","",VLOOKUP(C11,Database!$AD$4:$AE$15,2,FALSE))</f>
        <v/>
      </c>
      <c r="BA11" s="1712"/>
      <c r="BB11" s="1712"/>
      <c r="BC11" s="1712" t="str">
        <f>IF(C11="","",VLOOKUP(C11,Database!$AD$4:$AH$15,5,FALSE))</f>
        <v/>
      </c>
      <c r="BD11" s="1712"/>
      <c r="BE11" s="1712"/>
      <c r="BF11" s="1705" t="str">
        <f>IF(C11="","",VLOOKUP(X11,KW!$A$65:$J$73,10))</f>
        <v/>
      </c>
      <c r="BG11" s="1705"/>
      <c r="BH11" s="1705"/>
      <c r="BI11" s="1704" t="str">
        <f>IF(C11="","",VLOOKUP(X11,KW!$A$110:$B$118,2,FALSE))</f>
        <v/>
      </c>
      <c r="BJ11" s="1704"/>
      <c r="BK11" s="1704"/>
    </row>
    <row r="12" spans="2:63" ht="12.95" customHeight="1" thickBot="1" x14ac:dyDescent="0.25">
      <c r="B12" s="18" t="s">
        <v>488</v>
      </c>
      <c r="C12" s="1530"/>
      <c r="D12" s="1531"/>
      <c r="E12" s="1531"/>
      <c r="F12" s="1531"/>
      <c r="G12" s="1531"/>
      <c r="H12" s="1531"/>
      <c r="I12" s="1531"/>
      <c r="J12" s="1531"/>
      <c r="K12" s="1531"/>
      <c r="L12" s="1531"/>
      <c r="M12" s="1531"/>
      <c r="N12" s="1531"/>
      <c r="O12" s="1531"/>
      <c r="P12" s="1531"/>
      <c r="Q12" s="1531"/>
      <c r="R12" s="1531"/>
      <c r="S12" s="1531"/>
      <c r="T12" s="1531"/>
      <c r="U12" s="1532"/>
      <c r="V12" s="1552"/>
      <c r="W12" s="1554"/>
      <c r="X12" s="1706"/>
      <c r="Y12" s="1706"/>
      <c r="Z12" s="1706"/>
      <c r="AA12" s="1714"/>
      <c r="AB12" s="1715"/>
      <c r="AC12" s="1714"/>
      <c r="AD12" s="1715"/>
      <c r="AE12" s="1714"/>
      <c r="AF12" s="1715"/>
      <c r="AG12" s="1714"/>
      <c r="AH12" s="1715"/>
      <c r="AI12" s="1549" t="s">
        <v>3748</v>
      </c>
      <c r="AJ12" s="1550"/>
      <c r="AK12" s="1709"/>
      <c r="AL12" s="1710"/>
      <c r="AM12" s="1711" t="s">
        <v>3748</v>
      </c>
      <c r="AN12" s="1709"/>
      <c r="AO12" s="1709"/>
      <c r="AP12" s="1709"/>
      <c r="AQ12" s="1710"/>
      <c r="AR12" s="1721"/>
      <c r="AS12" s="1722"/>
      <c r="AT12" s="1722"/>
      <c r="AU12" s="1723"/>
      <c r="AX12" s="1707">
        <f t="shared" si="0"/>
        <v>0</v>
      </c>
      <c r="AY12" s="1708"/>
      <c r="AZ12" s="1712" t="str">
        <f>IF(C12="","",VLOOKUP(C12,Database!$AD$4:$AE$15,2,FALSE))</f>
        <v/>
      </c>
      <c r="BA12" s="1712"/>
      <c r="BB12" s="1712"/>
      <c r="BC12" s="1712" t="str">
        <f>IF(C12="","",VLOOKUP(C12,Database!$AD$4:$AH$15,5,FALSE))</f>
        <v/>
      </c>
      <c r="BD12" s="1712"/>
      <c r="BE12" s="1712"/>
      <c r="BF12" s="1705" t="str">
        <f>IF(C12="","",VLOOKUP(X12,KW!$A$65:$J$73,10))</f>
        <v/>
      </c>
      <c r="BG12" s="1705"/>
      <c r="BH12" s="1705"/>
      <c r="BI12" s="1704" t="str">
        <f>IF(C12="","",VLOOKUP(X12,KW!$A$110:$B$118,2,FALSE))</f>
        <v/>
      </c>
      <c r="BJ12" s="1704"/>
      <c r="BK12" s="1704"/>
    </row>
    <row r="13" spans="2:63" ht="12.95" customHeight="1" x14ac:dyDescent="0.2">
      <c r="C13" s="1739" t="s">
        <v>2507</v>
      </c>
      <c r="D13" s="1732"/>
      <c r="E13" s="1732"/>
      <c r="F13" s="1732"/>
      <c r="G13" s="1732"/>
      <c r="H13" s="1732"/>
      <c r="I13" s="1732"/>
      <c r="J13" s="1732"/>
      <c r="K13" s="1732"/>
      <c r="L13" s="1732"/>
      <c r="M13" s="1732"/>
      <c r="N13" s="1732"/>
      <c r="O13" s="1732"/>
      <c r="P13" s="1732"/>
      <c r="Q13" s="1732"/>
      <c r="R13" s="1732"/>
      <c r="S13" s="1732"/>
      <c r="T13" s="1732"/>
      <c r="U13" s="1733"/>
      <c r="V13" s="1163"/>
      <c r="W13" s="1163"/>
      <c r="X13" s="1755" t="s">
        <v>1034</v>
      </c>
      <c r="Y13" s="1756"/>
      <c r="Z13" s="1756"/>
      <c r="AA13" s="1756"/>
      <c r="AB13" s="1757"/>
      <c r="AC13" s="1731" t="s">
        <v>2524</v>
      </c>
      <c r="AD13" s="1732"/>
      <c r="AE13" s="1732"/>
      <c r="AF13" s="1733"/>
      <c r="AG13" s="1731" t="s">
        <v>2525</v>
      </c>
      <c r="AH13" s="1732"/>
      <c r="AI13" s="1732"/>
      <c r="AJ13" s="1732"/>
      <c r="AK13" s="1175"/>
      <c r="AL13" s="1176"/>
      <c r="AM13" s="1770"/>
      <c r="AN13" s="1770"/>
      <c r="AO13" s="1770"/>
      <c r="AP13" s="1176"/>
      <c r="AQ13" s="1176"/>
      <c r="AR13" s="1176"/>
      <c r="AS13" s="1176"/>
      <c r="AT13" s="1176"/>
      <c r="AU13" s="1177"/>
    </row>
    <row r="14" spans="2:63" ht="12.95" customHeight="1" x14ac:dyDescent="0.2">
      <c r="C14" s="1740"/>
      <c r="D14" s="1726"/>
      <c r="E14" s="1726"/>
      <c r="F14" s="1726"/>
      <c r="G14" s="1726"/>
      <c r="H14" s="1726"/>
      <c r="I14" s="1726"/>
      <c r="J14" s="1726"/>
      <c r="K14" s="1726"/>
      <c r="L14" s="1726"/>
      <c r="M14" s="1726"/>
      <c r="N14" s="1726"/>
      <c r="O14" s="1726"/>
      <c r="P14" s="1726"/>
      <c r="Q14" s="1726"/>
      <c r="R14" s="1726"/>
      <c r="S14" s="1726"/>
      <c r="T14" s="1726"/>
      <c r="U14" s="1727"/>
      <c r="V14" s="1164"/>
      <c r="W14" s="1164"/>
      <c r="X14" s="1758"/>
      <c r="Y14" s="1759"/>
      <c r="Z14" s="1759"/>
      <c r="AA14" s="1759"/>
      <c r="AB14" s="1760"/>
      <c r="AC14" s="1725" t="s">
        <v>2523</v>
      </c>
      <c r="AD14" s="1726"/>
      <c r="AE14" s="1726"/>
      <c r="AF14" s="1727"/>
      <c r="AG14" s="1725" t="s">
        <v>2526</v>
      </c>
      <c r="AH14" s="1726"/>
      <c r="AI14" s="1726"/>
      <c r="AJ14" s="1726"/>
      <c r="AK14" s="1178"/>
      <c r="AL14" s="1062"/>
      <c r="AM14" s="1062"/>
      <c r="AN14" s="1747" t="s">
        <v>2521</v>
      </c>
      <c r="AO14" s="1747"/>
      <c r="AP14" s="1747"/>
      <c r="AQ14" s="1062"/>
      <c r="AR14" s="1062"/>
      <c r="AS14" s="1062"/>
      <c r="AT14" s="1062"/>
      <c r="AU14" s="1172"/>
      <c r="AX14" s="1745" t="s">
        <v>2563</v>
      </c>
      <c r="AY14" s="1745"/>
    </row>
    <row r="15" spans="2:63" ht="12.95" customHeight="1" x14ac:dyDescent="0.2">
      <c r="C15" s="1740"/>
      <c r="D15" s="1726"/>
      <c r="E15" s="1726"/>
      <c r="F15" s="1726"/>
      <c r="G15" s="1726"/>
      <c r="H15" s="1726"/>
      <c r="I15" s="1726"/>
      <c r="J15" s="1726"/>
      <c r="K15" s="1726"/>
      <c r="L15" s="1726"/>
      <c r="M15" s="1726"/>
      <c r="N15" s="1726"/>
      <c r="O15" s="1726"/>
      <c r="P15" s="1726"/>
      <c r="Q15" s="1726"/>
      <c r="R15" s="1726"/>
      <c r="S15" s="1726"/>
      <c r="T15" s="1726"/>
      <c r="U15" s="1727"/>
      <c r="V15" s="1164"/>
      <c r="W15" s="1164"/>
      <c r="X15" s="1758"/>
      <c r="Y15" s="1759"/>
      <c r="Z15" s="1759"/>
      <c r="AA15" s="1759"/>
      <c r="AB15" s="1760"/>
      <c r="AC15" s="1079"/>
      <c r="AD15" s="1077"/>
      <c r="AE15" s="1077"/>
      <c r="AF15" s="1078"/>
      <c r="AG15" s="1728" t="s">
        <v>2562</v>
      </c>
      <c r="AH15" s="1729"/>
      <c r="AI15" s="1729"/>
      <c r="AJ15" s="1729"/>
      <c r="AK15" s="1178"/>
      <c r="AL15" s="1062"/>
      <c r="AM15" s="1062"/>
      <c r="AN15" s="1062"/>
      <c r="AO15" s="1062"/>
      <c r="AP15" s="1062"/>
      <c r="AQ15" s="1062"/>
      <c r="AR15" s="1062"/>
      <c r="AS15" s="1062"/>
      <c r="AT15" s="1062"/>
      <c r="AU15" s="1172"/>
      <c r="AX15" s="1745" t="s">
        <v>2564</v>
      </c>
      <c r="AY15" s="1745"/>
    </row>
    <row r="16" spans="2:63" ht="12.95" customHeight="1" thickBot="1" x14ac:dyDescent="0.25">
      <c r="C16" s="1741"/>
      <c r="D16" s="1742"/>
      <c r="E16" s="1742"/>
      <c r="F16" s="1742"/>
      <c r="G16" s="1742"/>
      <c r="H16" s="1742"/>
      <c r="I16" s="1742"/>
      <c r="J16" s="1742"/>
      <c r="K16" s="1742"/>
      <c r="L16" s="1742"/>
      <c r="M16" s="1742"/>
      <c r="N16" s="1742"/>
      <c r="O16" s="1742"/>
      <c r="P16" s="1742"/>
      <c r="Q16" s="1742"/>
      <c r="R16" s="1742"/>
      <c r="S16" s="1742"/>
      <c r="T16" s="1742"/>
      <c r="U16" s="1743"/>
      <c r="V16" s="1165"/>
      <c r="W16" s="1165"/>
      <c r="X16" s="1761"/>
      <c r="Y16" s="1762"/>
      <c r="Z16" s="1762"/>
      <c r="AA16" s="1762"/>
      <c r="AB16" s="1763"/>
      <c r="AC16" s="1752" t="s">
        <v>2519</v>
      </c>
      <c r="AD16" s="1753"/>
      <c r="AE16" s="1752" t="s">
        <v>2520</v>
      </c>
      <c r="AF16" s="1753"/>
      <c r="AG16" s="1752" t="s">
        <v>2519</v>
      </c>
      <c r="AH16" s="1753"/>
      <c r="AI16" s="1752" t="s">
        <v>2520</v>
      </c>
      <c r="AJ16" s="1754"/>
      <c r="AK16" s="1178"/>
      <c r="AL16" s="1062"/>
      <c r="AM16" s="1062"/>
      <c r="AN16" s="1062"/>
      <c r="AO16" s="1062"/>
      <c r="AP16" s="1062"/>
      <c r="AQ16" s="1062"/>
      <c r="AR16" s="1062"/>
      <c r="AS16" s="1062"/>
      <c r="AT16" s="1062"/>
      <c r="AU16" s="1172"/>
    </row>
    <row r="17" spans="2:47" ht="12.95" customHeight="1" x14ac:dyDescent="0.2">
      <c r="B17" s="18" t="s">
        <v>481</v>
      </c>
      <c r="C17" s="1774">
        <f t="shared" ref="C17:C24" si="1">C5</f>
        <v>0</v>
      </c>
      <c r="D17" s="1775"/>
      <c r="E17" s="1775"/>
      <c r="F17" s="1775"/>
      <c r="G17" s="1775"/>
      <c r="H17" s="1775"/>
      <c r="I17" s="1775"/>
      <c r="J17" s="1775"/>
      <c r="K17" s="1775"/>
      <c r="L17" s="1775"/>
      <c r="M17" s="1775"/>
      <c r="N17" s="1775"/>
      <c r="O17" s="1775"/>
      <c r="P17" s="1775"/>
      <c r="Q17" s="1775"/>
      <c r="R17" s="1775"/>
      <c r="S17" s="1775"/>
      <c r="T17" s="1775"/>
      <c r="U17" s="1775"/>
      <c r="V17" s="1775"/>
      <c r="W17" s="1776"/>
      <c r="X17" s="1764"/>
      <c r="Y17" s="1764"/>
      <c r="Z17" s="1764"/>
      <c r="AA17" s="1764"/>
      <c r="AB17" s="1764"/>
      <c r="AC17" s="1749"/>
      <c r="AD17" s="1750"/>
      <c r="AE17" s="1749"/>
      <c r="AF17" s="1750"/>
      <c r="AG17" s="1749"/>
      <c r="AH17" s="1750"/>
      <c r="AI17" s="1749"/>
      <c r="AJ17" s="1751"/>
      <c r="AK17" s="1178"/>
      <c r="AL17" s="1062"/>
      <c r="AM17" s="1062"/>
      <c r="AN17" s="1062"/>
      <c r="AO17" s="1748" t="s">
        <v>2522</v>
      </c>
      <c r="AP17" s="1062"/>
      <c r="AQ17" s="1062"/>
      <c r="AR17" s="1062"/>
      <c r="AS17" s="1062"/>
      <c r="AT17" s="1062"/>
      <c r="AU17" s="1172"/>
    </row>
    <row r="18" spans="2:47" ht="12.95" customHeight="1" x14ac:dyDescent="0.2">
      <c r="B18" s="18" t="s">
        <v>482</v>
      </c>
      <c r="C18" s="1771">
        <f t="shared" si="1"/>
        <v>0</v>
      </c>
      <c r="D18" s="1772"/>
      <c r="E18" s="1772"/>
      <c r="F18" s="1772"/>
      <c r="G18" s="1772"/>
      <c r="H18" s="1772"/>
      <c r="I18" s="1772"/>
      <c r="J18" s="1772"/>
      <c r="K18" s="1772"/>
      <c r="L18" s="1772"/>
      <c r="M18" s="1772"/>
      <c r="N18" s="1772"/>
      <c r="O18" s="1772"/>
      <c r="P18" s="1772"/>
      <c r="Q18" s="1772"/>
      <c r="R18" s="1772"/>
      <c r="S18" s="1772"/>
      <c r="T18" s="1772"/>
      <c r="U18" s="1772"/>
      <c r="V18" s="1772"/>
      <c r="W18" s="1773"/>
      <c r="X18" s="1709"/>
      <c r="Y18" s="1709"/>
      <c r="Z18" s="1709"/>
      <c r="AA18" s="1709"/>
      <c r="AB18" s="1709"/>
      <c r="AC18" s="1716"/>
      <c r="AD18" s="1717"/>
      <c r="AE18" s="1716"/>
      <c r="AF18" s="1717"/>
      <c r="AG18" s="1716"/>
      <c r="AH18" s="1717"/>
      <c r="AI18" s="1716"/>
      <c r="AJ18" s="1746"/>
      <c r="AK18" s="1178"/>
      <c r="AL18" s="1062"/>
      <c r="AM18" s="1062"/>
      <c r="AN18" s="1062"/>
      <c r="AO18" s="1748"/>
      <c r="AP18" s="1062"/>
      <c r="AQ18" s="1062"/>
      <c r="AR18" s="1062"/>
      <c r="AS18" s="1062"/>
      <c r="AT18" s="1062"/>
      <c r="AU18" s="1172"/>
    </row>
    <row r="19" spans="2:47" ht="12.95" customHeight="1" x14ac:dyDescent="0.2">
      <c r="B19" s="18" t="s">
        <v>483</v>
      </c>
      <c r="C19" s="1771">
        <f t="shared" si="1"/>
        <v>0</v>
      </c>
      <c r="D19" s="1772"/>
      <c r="E19" s="1772"/>
      <c r="F19" s="1772"/>
      <c r="G19" s="1772"/>
      <c r="H19" s="1772"/>
      <c r="I19" s="1772"/>
      <c r="J19" s="1772"/>
      <c r="K19" s="1772"/>
      <c r="L19" s="1772"/>
      <c r="M19" s="1772"/>
      <c r="N19" s="1772"/>
      <c r="O19" s="1772"/>
      <c r="P19" s="1772"/>
      <c r="Q19" s="1772"/>
      <c r="R19" s="1772"/>
      <c r="S19" s="1772"/>
      <c r="T19" s="1772"/>
      <c r="U19" s="1772"/>
      <c r="V19" s="1772"/>
      <c r="W19" s="1773"/>
      <c r="X19" s="1709"/>
      <c r="Y19" s="1709"/>
      <c r="Z19" s="1709"/>
      <c r="AA19" s="1709"/>
      <c r="AB19" s="1709"/>
      <c r="AC19" s="1716"/>
      <c r="AD19" s="1717"/>
      <c r="AE19" s="1716"/>
      <c r="AF19" s="1717"/>
      <c r="AG19" s="1716"/>
      <c r="AH19" s="1717"/>
      <c r="AI19" s="1716"/>
      <c r="AJ19" s="1746"/>
      <c r="AK19" s="1178"/>
      <c r="AL19" s="1062"/>
      <c r="AM19" s="1062"/>
      <c r="AN19" s="1062"/>
      <c r="AO19" s="1062"/>
      <c r="AP19" s="1062"/>
      <c r="AQ19" s="1062"/>
      <c r="AR19" s="1062"/>
      <c r="AS19" s="1062"/>
      <c r="AT19" s="1062"/>
      <c r="AU19" s="1172"/>
    </row>
    <row r="20" spans="2:47" ht="12.95" customHeight="1" x14ac:dyDescent="0.2">
      <c r="B20" s="18" t="s">
        <v>484</v>
      </c>
      <c r="C20" s="1771">
        <f t="shared" si="1"/>
        <v>0</v>
      </c>
      <c r="D20" s="1772"/>
      <c r="E20" s="1772"/>
      <c r="F20" s="1772"/>
      <c r="G20" s="1772"/>
      <c r="H20" s="1772"/>
      <c r="I20" s="1772"/>
      <c r="J20" s="1772"/>
      <c r="K20" s="1772"/>
      <c r="L20" s="1772"/>
      <c r="M20" s="1772"/>
      <c r="N20" s="1772"/>
      <c r="O20" s="1772"/>
      <c r="P20" s="1772"/>
      <c r="Q20" s="1772"/>
      <c r="R20" s="1772"/>
      <c r="S20" s="1772"/>
      <c r="T20" s="1772"/>
      <c r="U20" s="1772"/>
      <c r="V20" s="1772"/>
      <c r="W20" s="1773"/>
      <c r="X20" s="1709"/>
      <c r="Y20" s="1709"/>
      <c r="Z20" s="1709"/>
      <c r="AA20" s="1709"/>
      <c r="AB20" s="1709"/>
      <c r="AC20" s="1716"/>
      <c r="AD20" s="1717"/>
      <c r="AE20" s="1716"/>
      <c r="AF20" s="1717"/>
      <c r="AG20" s="1716"/>
      <c r="AH20" s="1717"/>
      <c r="AI20" s="1716"/>
      <c r="AJ20" s="1746"/>
      <c r="AK20" s="1178"/>
      <c r="AL20" s="1062"/>
      <c r="AM20" s="1062"/>
      <c r="AN20" s="1062"/>
      <c r="AO20" s="1062"/>
      <c r="AP20" s="1062"/>
      <c r="AQ20" s="1062"/>
      <c r="AR20" s="1062"/>
      <c r="AS20" s="1062"/>
      <c r="AT20" s="1062"/>
      <c r="AU20" s="1172"/>
    </row>
    <row r="21" spans="2:47" ht="12.95" customHeight="1" x14ac:dyDescent="0.2">
      <c r="B21" s="18" t="s">
        <v>485</v>
      </c>
      <c r="C21" s="1771">
        <f t="shared" si="1"/>
        <v>0</v>
      </c>
      <c r="D21" s="1772"/>
      <c r="E21" s="1772"/>
      <c r="F21" s="1772"/>
      <c r="G21" s="1772"/>
      <c r="H21" s="1772"/>
      <c r="I21" s="1772"/>
      <c r="J21" s="1772"/>
      <c r="K21" s="1772"/>
      <c r="L21" s="1772"/>
      <c r="M21" s="1772"/>
      <c r="N21" s="1772"/>
      <c r="O21" s="1772"/>
      <c r="P21" s="1772"/>
      <c r="Q21" s="1772"/>
      <c r="R21" s="1772"/>
      <c r="S21" s="1772"/>
      <c r="T21" s="1772"/>
      <c r="U21" s="1772"/>
      <c r="V21" s="1772"/>
      <c r="W21" s="1773"/>
      <c r="X21" s="1709"/>
      <c r="Y21" s="1709"/>
      <c r="Z21" s="1709"/>
      <c r="AA21" s="1709"/>
      <c r="AB21" s="1709"/>
      <c r="AC21" s="1716"/>
      <c r="AD21" s="1717"/>
      <c r="AE21" s="1716"/>
      <c r="AF21" s="1717"/>
      <c r="AG21" s="1716"/>
      <c r="AH21" s="1717"/>
      <c r="AI21" s="1716"/>
      <c r="AJ21" s="1746"/>
      <c r="AK21" s="1178"/>
      <c r="AL21" s="1062"/>
      <c r="AM21" s="1062"/>
      <c r="AN21" s="1062"/>
      <c r="AO21" s="1062"/>
      <c r="AP21" s="1062"/>
      <c r="AQ21" s="1062"/>
      <c r="AR21" s="1062"/>
      <c r="AS21" s="1062"/>
      <c r="AT21" s="1062"/>
      <c r="AU21" s="1172"/>
    </row>
    <row r="22" spans="2:47" ht="12.95" customHeight="1" x14ac:dyDescent="0.2">
      <c r="B22" s="18" t="s">
        <v>486</v>
      </c>
      <c r="C22" s="1771">
        <f t="shared" si="1"/>
        <v>0</v>
      </c>
      <c r="D22" s="1772"/>
      <c r="E22" s="1772"/>
      <c r="F22" s="1772"/>
      <c r="G22" s="1772"/>
      <c r="H22" s="1772"/>
      <c r="I22" s="1772"/>
      <c r="J22" s="1772"/>
      <c r="K22" s="1772"/>
      <c r="L22" s="1772"/>
      <c r="M22" s="1772"/>
      <c r="N22" s="1772"/>
      <c r="O22" s="1772"/>
      <c r="P22" s="1772"/>
      <c r="Q22" s="1772"/>
      <c r="R22" s="1772"/>
      <c r="S22" s="1772"/>
      <c r="T22" s="1772"/>
      <c r="U22" s="1772"/>
      <c r="V22" s="1772"/>
      <c r="W22" s="1773"/>
      <c r="X22" s="1709"/>
      <c r="Y22" s="1709"/>
      <c r="Z22" s="1709"/>
      <c r="AA22" s="1709"/>
      <c r="AB22" s="1709"/>
      <c r="AC22" s="1716"/>
      <c r="AD22" s="1717"/>
      <c r="AE22" s="1716"/>
      <c r="AF22" s="1717"/>
      <c r="AG22" s="1716"/>
      <c r="AH22" s="1717"/>
      <c r="AI22" s="1716"/>
      <c r="AJ22" s="1746"/>
      <c r="AK22" s="1178"/>
      <c r="AL22" s="1062"/>
      <c r="AM22" s="1062"/>
      <c r="AN22" s="1062"/>
      <c r="AO22" s="1062"/>
      <c r="AP22" s="1062"/>
      <c r="AQ22" s="1062"/>
      <c r="AR22" s="1062"/>
      <c r="AS22" s="1062"/>
      <c r="AT22" s="1062"/>
      <c r="AU22" s="1172"/>
    </row>
    <row r="23" spans="2:47" ht="12.95" customHeight="1" x14ac:dyDescent="0.2">
      <c r="B23" s="18" t="s">
        <v>487</v>
      </c>
      <c r="C23" s="1771">
        <f t="shared" si="1"/>
        <v>0</v>
      </c>
      <c r="D23" s="1772"/>
      <c r="E23" s="1772"/>
      <c r="F23" s="1772"/>
      <c r="G23" s="1772"/>
      <c r="H23" s="1772"/>
      <c r="I23" s="1772"/>
      <c r="J23" s="1772"/>
      <c r="K23" s="1772"/>
      <c r="L23" s="1772"/>
      <c r="M23" s="1772"/>
      <c r="N23" s="1772"/>
      <c r="O23" s="1772"/>
      <c r="P23" s="1772"/>
      <c r="Q23" s="1772"/>
      <c r="R23" s="1772"/>
      <c r="S23" s="1772"/>
      <c r="T23" s="1772"/>
      <c r="U23" s="1772"/>
      <c r="V23" s="1772"/>
      <c r="W23" s="1773"/>
      <c r="X23" s="1709"/>
      <c r="Y23" s="1709"/>
      <c r="Z23" s="1709"/>
      <c r="AA23" s="1709"/>
      <c r="AB23" s="1709"/>
      <c r="AC23" s="1716"/>
      <c r="AD23" s="1717"/>
      <c r="AE23" s="1716"/>
      <c r="AF23" s="1717"/>
      <c r="AG23" s="1716"/>
      <c r="AH23" s="1717"/>
      <c r="AI23" s="1716"/>
      <c r="AJ23" s="1746"/>
      <c r="AK23" s="1178"/>
      <c r="AL23" s="1062"/>
      <c r="AM23" s="1062"/>
      <c r="AN23" s="1062"/>
      <c r="AO23" s="1062"/>
      <c r="AP23" s="1062"/>
      <c r="AQ23" s="1062"/>
      <c r="AR23" s="1062"/>
      <c r="AS23" s="1062"/>
      <c r="AT23" s="1062"/>
      <c r="AU23" s="1172"/>
    </row>
    <row r="24" spans="2:47" ht="12.95" customHeight="1" thickBot="1" x14ac:dyDescent="0.25">
      <c r="B24" s="18" t="s">
        <v>488</v>
      </c>
      <c r="C24" s="1765">
        <f t="shared" si="1"/>
        <v>0</v>
      </c>
      <c r="D24" s="1766"/>
      <c r="E24" s="1766"/>
      <c r="F24" s="1766"/>
      <c r="G24" s="1766"/>
      <c r="H24" s="1766"/>
      <c r="I24" s="1766"/>
      <c r="J24" s="1766"/>
      <c r="K24" s="1766"/>
      <c r="L24" s="1766"/>
      <c r="M24" s="1766"/>
      <c r="N24" s="1766"/>
      <c r="O24" s="1766"/>
      <c r="P24" s="1766"/>
      <c r="Q24" s="1766"/>
      <c r="R24" s="1766"/>
      <c r="S24" s="1766"/>
      <c r="T24" s="1766"/>
      <c r="U24" s="1766"/>
      <c r="V24" s="1766"/>
      <c r="W24" s="1767"/>
      <c r="X24" s="1709"/>
      <c r="Y24" s="1709"/>
      <c r="Z24" s="1709"/>
      <c r="AA24" s="1709"/>
      <c r="AB24" s="1709"/>
      <c r="AC24" s="1716"/>
      <c r="AD24" s="1717"/>
      <c r="AE24" s="1716"/>
      <c r="AF24" s="1717"/>
      <c r="AG24" s="1716"/>
      <c r="AH24" s="1717"/>
      <c r="AI24" s="1716"/>
      <c r="AJ24" s="1746"/>
      <c r="AK24" s="1178"/>
      <c r="AL24" s="1062"/>
      <c r="AM24" s="1062"/>
      <c r="AN24" s="1062"/>
      <c r="AO24" s="1062"/>
      <c r="AP24" s="1062"/>
      <c r="AQ24" s="1062"/>
      <c r="AR24" s="1062"/>
      <c r="AS24" s="1062"/>
      <c r="AT24" s="1062"/>
      <c r="AU24" s="1172"/>
    </row>
    <row r="25" spans="2:47" ht="12.95" customHeight="1" thickBot="1" x14ac:dyDescent="0.25">
      <c r="C25" s="1768" t="s">
        <v>3634</v>
      </c>
      <c r="D25" s="1769"/>
      <c r="E25" s="1769"/>
      <c r="F25" s="1769"/>
      <c r="G25" s="1769"/>
      <c r="H25" s="1769"/>
      <c r="I25" s="1769"/>
      <c r="J25" s="1769"/>
      <c r="K25" s="1769"/>
      <c r="L25" s="1769"/>
      <c r="M25" s="1769"/>
      <c r="N25" s="1769"/>
      <c r="O25" s="1769"/>
      <c r="P25" s="1769"/>
      <c r="Q25" s="1769"/>
      <c r="R25" s="1769"/>
      <c r="S25" s="1769"/>
      <c r="T25" s="1769"/>
      <c r="U25" s="1769"/>
      <c r="V25" s="1769"/>
      <c r="W25" s="1769"/>
      <c r="X25" s="1769"/>
      <c r="Y25" s="1769"/>
      <c r="Z25" s="1769"/>
      <c r="AA25" s="1769"/>
      <c r="AB25" s="1769"/>
      <c r="AC25" s="1769"/>
      <c r="AD25" s="1769"/>
      <c r="AE25" s="1769"/>
      <c r="AF25" s="1769"/>
      <c r="AG25" s="1769"/>
      <c r="AH25" s="1769"/>
      <c r="AI25" s="1769"/>
      <c r="AJ25" s="1769"/>
      <c r="AK25" s="1179"/>
      <c r="AL25" s="1173"/>
      <c r="AM25" s="1173"/>
      <c r="AN25" s="1173"/>
      <c r="AO25" s="1173"/>
      <c r="AP25" s="1173"/>
      <c r="AQ25" s="1173"/>
      <c r="AR25" s="1173"/>
      <c r="AS25" s="1173"/>
      <c r="AT25" s="1173"/>
      <c r="AU25" s="1174"/>
    </row>
  </sheetData>
  <sheetProtection password="CA39" sheet="1" objects="1" scenarios="1"/>
  <mergeCells count="199">
    <mergeCell ref="C25:AJ25"/>
    <mergeCell ref="AM13:AO13"/>
    <mergeCell ref="AE23:AF23"/>
    <mergeCell ref="AG23:AH23"/>
    <mergeCell ref="AI23:AJ23"/>
    <mergeCell ref="V6:W6"/>
    <mergeCell ref="V7:W7"/>
    <mergeCell ref="V8:W8"/>
    <mergeCell ref="V9:W9"/>
    <mergeCell ref="V10:W10"/>
    <mergeCell ref="V11:W11"/>
    <mergeCell ref="C23:W23"/>
    <mergeCell ref="C18:W18"/>
    <mergeCell ref="C19:W19"/>
    <mergeCell ref="C20:W20"/>
    <mergeCell ref="C21:W21"/>
    <mergeCell ref="V12:W12"/>
    <mergeCell ref="C17:W17"/>
    <mergeCell ref="C22:W22"/>
    <mergeCell ref="AC23:AD23"/>
    <mergeCell ref="AC22:AD22"/>
    <mergeCell ref="X21:AB21"/>
    <mergeCell ref="X22:AB22"/>
    <mergeCell ref="X23:AB23"/>
    <mergeCell ref="AI24:AJ24"/>
    <mergeCell ref="AI22:AJ22"/>
    <mergeCell ref="AC21:AD21"/>
    <mergeCell ref="AE21:AF21"/>
    <mergeCell ref="AG21:AH21"/>
    <mergeCell ref="AI21:AJ21"/>
    <mergeCell ref="AE22:AF22"/>
    <mergeCell ref="AG22:AH22"/>
    <mergeCell ref="C2:AU2"/>
    <mergeCell ref="AI20:AJ20"/>
    <mergeCell ref="AC19:AD19"/>
    <mergeCell ref="AE19:AF19"/>
    <mergeCell ref="X13:AB16"/>
    <mergeCell ref="AC17:AD17"/>
    <mergeCell ref="AE17:AF17"/>
    <mergeCell ref="AC13:AF13"/>
    <mergeCell ref="AC14:AF14"/>
    <mergeCell ref="AC16:AD16"/>
    <mergeCell ref="AE16:AF16"/>
    <mergeCell ref="X17:AB17"/>
    <mergeCell ref="X24:AB24"/>
    <mergeCell ref="X19:AB19"/>
    <mergeCell ref="X20:AB20"/>
    <mergeCell ref="C24:W24"/>
    <mergeCell ref="AX14:AY14"/>
    <mergeCell ref="AX15:AY15"/>
    <mergeCell ref="AI18:AJ18"/>
    <mergeCell ref="AI19:AJ19"/>
    <mergeCell ref="AG19:AH19"/>
    <mergeCell ref="AN14:AP14"/>
    <mergeCell ref="AO17:AO18"/>
    <mergeCell ref="AG13:AJ13"/>
    <mergeCell ref="AG14:AJ14"/>
    <mergeCell ref="AG15:AJ15"/>
    <mergeCell ref="AG17:AH17"/>
    <mergeCell ref="AI17:AJ17"/>
    <mergeCell ref="AG16:AH16"/>
    <mergeCell ref="AI16:AJ16"/>
    <mergeCell ref="AE18:AF18"/>
    <mergeCell ref="AG18:AH18"/>
    <mergeCell ref="AC20:AD20"/>
    <mergeCell ref="AE20:AF20"/>
    <mergeCell ref="AG20:AH20"/>
    <mergeCell ref="AC18:AD18"/>
    <mergeCell ref="X18:AB18"/>
    <mergeCell ref="AC24:AD24"/>
    <mergeCell ref="AE24:AF24"/>
    <mergeCell ref="AG24:AH24"/>
    <mergeCell ref="C9:U9"/>
    <mergeCell ref="C10:U10"/>
    <mergeCell ref="C13:U16"/>
    <mergeCell ref="V3:W4"/>
    <mergeCell ref="V5:W5"/>
    <mergeCell ref="C8:U8"/>
    <mergeCell ref="C3:U4"/>
    <mergeCell ref="C5:U5"/>
    <mergeCell ref="C6:U6"/>
    <mergeCell ref="C7:U7"/>
    <mergeCell ref="BI4:BK4"/>
    <mergeCell ref="X3:Z4"/>
    <mergeCell ref="AI3:AL3"/>
    <mergeCell ref="AM3:AQ3"/>
    <mergeCell ref="AR3:AU3"/>
    <mergeCell ref="AI4:AL4"/>
    <mergeCell ref="AM4:AQ4"/>
    <mergeCell ref="AR4:AU4"/>
    <mergeCell ref="AA3:AD3"/>
    <mergeCell ref="AE3:AH3"/>
    <mergeCell ref="AE4:AF4"/>
    <mergeCell ref="AG4:AH4"/>
    <mergeCell ref="AZ4:BB4"/>
    <mergeCell ref="BC4:BE4"/>
    <mergeCell ref="AA4:AB4"/>
    <mergeCell ref="AC4:AD4"/>
    <mergeCell ref="AX4:AY4"/>
    <mergeCell ref="AX6:AY6"/>
    <mergeCell ref="AM6:AQ6"/>
    <mergeCell ref="AX5:AY5"/>
    <mergeCell ref="BF4:BH4"/>
    <mergeCell ref="AA6:AB6"/>
    <mergeCell ref="AC5:AD5"/>
    <mergeCell ref="AC6:AD6"/>
    <mergeCell ref="AE6:AF6"/>
    <mergeCell ref="AG5:AH5"/>
    <mergeCell ref="AG6:AH6"/>
    <mergeCell ref="BF5:BH5"/>
    <mergeCell ref="BI5:BK5"/>
    <mergeCell ref="AZ6:BB6"/>
    <mergeCell ref="BC6:BE6"/>
    <mergeCell ref="BF6:BH6"/>
    <mergeCell ref="BI6:BK6"/>
    <mergeCell ref="AZ5:BB5"/>
    <mergeCell ref="BC5:BE5"/>
    <mergeCell ref="X5:Z5"/>
    <mergeCell ref="AI5:AL5"/>
    <mergeCell ref="AA5:AB5"/>
    <mergeCell ref="AE5:AF5"/>
    <mergeCell ref="AM5:AQ5"/>
    <mergeCell ref="AR5:AU12"/>
    <mergeCell ref="AM11:AQ11"/>
    <mergeCell ref="AI7:AL7"/>
    <mergeCell ref="AM7:AQ7"/>
    <mergeCell ref="AM8:AQ8"/>
    <mergeCell ref="AI6:AL6"/>
    <mergeCell ref="AE10:AF10"/>
    <mergeCell ref="X6:Z6"/>
    <mergeCell ref="AC10:AD10"/>
    <mergeCell ref="AE11:AF11"/>
    <mergeCell ref="AE12:AF12"/>
    <mergeCell ref="BF7:BH7"/>
    <mergeCell ref="BI7:BK7"/>
    <mergeCell ref="X7:Z7"/>
    <mergeCell ref="AX7:AY7"/>
    <mergeCell ref="AA7:AB7"/>
    <mergeCell ref="AZ7:BB7"/>
    <mergeCell ref="BC7:BE7"/>
    <mergeCell ref="AE7:AF7"/>
    <mergeCell ref="X8:Z8"/>
    <mergeCell ref="AX8:AY8"/>
    <mergeCell ref="AI8:AL8"/>
    <mergeCell ref="AE8:AF8"/>
    <mergeCell ref="BF8:BH8"/>
    <mergeCell ref="BI8:BK8"/>
    <mergeCell ref="AA8:AB8"/>
    <mergeCell ref="AC8:AD8"/>
    <mergeCell ref="AZ8:BB8"/>
    <mergeCell ref="BC8:BE8"/>
    <mergeCell ref="AC7:AD7"/>
    <mergeCell ref="AG7:AH7"/>
    <mergeCell ref="AG8:AH8"/>
    <mergeCell ref="BF9:BH9"/>
    <mergeCell ref="BI9:BK9"/>
    <mergeCell ref="X10:Z10"/>
    <mergeCell ref="AX10:AY10"/>
    <mergeCell ref="AI10:AL10"/>
    <mergeCell ref="AM10:AQ10"/>
    <mergeCell ref="AZ10:BB10"/>
    <mergeCell ref="BC10:BE10"/>
    <mergeCell ref="BF10:BH10"/>
    <mergeCell ref="BI10:BK10"/>
    <mergeCell ref="X9:Z9"/>
    <mergeCell ref="AX9:AY9"/>
    <mergeCell ref="AI9:AL9"/>
    <mergeCell ref="AM9:AQ9"/>
    <mergeCell ref="AA9:AB9"/>
    <mergeCell ref="AE9:AF9"/>
    <mergeCell ref="AC9:AD9"/>
    <mergeCell ref="AZ9:BB9"/>
    <mergeCell ref="BC9:BE9"/>
    <mergeCell ref="AA10:AB10"/>
    <mergeCell ref="AG9:AH9"/>
    <mergeCell ref="AG10:AH10"/>
    <mergeCell ref="BI12:BK12"/>
    <mergeCell ref="BF11:BH11"/>
    <mergeCell ref="BI11:BK11"/>
    <mergeCell ref="C12:U12"/>
    <mergeCell ref="X12:Z12"/>
    <mergeCell ref="AX12:AY12"/>
    <mergeCell ref="AI12:AL12"/>
    <mergeCell ref="AM12:AQ12"/>
    <mergeCell ref="AZ12:BB12"/>
    <mergeCell ref="BC12:BE12"/>
    <mergeCell ref="BF12:BH12"/>
    <mergeCell ref="C11:U11"/>
    <mergeCell ref="X11:Z11"/>
    <mergeCell ref="AX11:AY11"/>
    <mergeCell ref="AI11:AL11"/>
    <mergeCell ref="AC12:AD12"/>
    <mergeCell ref="AG12:AH12"/>
    <mergeCell ref="AA11:AB11"/>
    <mergeCell ref="AA12:AB12"/>
    <mergeCell ref="AC11:AD11"/>
    <mergeCell ref="AZ11:BB11"/>
    <mergeCell ref="BC11:BE11"/>
    <mergeCell ref="AG11:AH11"/>
  </mergeCells>
  <phoneticPr fontId="2" type="noConversion"/>
  <dataValidations count="6">
    <dataValidation type="list" allowBlank="1" showInputMessage="1" showErrorMessage="1" sqref="AM5:AQ12" xr:uid="{00000000-0002-0000-0A00-000000000000}">
      <formula1>Glass_Adj</formula1>
    </dataValidation>
    <dataValidation type="list" allowBlank="1" showInputMessage="1" showErrorMessage="1" sqref="AI5:AL12" xr:uid="{00000000-0002-0000-0A00-000001000000}">
      <formula1>ISC</formula1>
    </dataValidation>
    <dataValidation type="list" allowBlank="1" showInputMessage="1" showErrorMessage="1" sqref="AR5" xr:uid="{00000000-0002-0000-0A00-000002000000}">
      <formula1>Construction_Weight</formula1>
    </dataValidation>
    <dataValidation type="list" allowBlank="1" showInputMessage="1" showErrorMessage="1" sqref="X17:X24" xr:uid="{00000000-0002-0000-0A00-000003000000}">
      <formula1>Overhang_Adj</formula1>
    </dataValidation>
    <dataValidation type="list" allowBlank="1" showInputMessage="1" showErrorMessage="1" sqref="C5:U12" xr:uid="{00000000-0002-0000-0A00-000004000000}">
      <formula1>Glass_Data_2</formula1>
    </dataValidation>
    <dataValidation type="list" allowBlank="1" showInputMessage="1" showErrorMessage="1" sqref="X5:Z12" xr:uid="{00000000-0002-0000-0A00-000005000000}">
      <formula1>Glass_Direction</formula1>
    </dataValidation>
  </dataValidations>
  <hyperlinks>
    <hyperlink ref="C25:AJ25" location="N1_Glass" display="► Return to N1 Form" xr:uid="{00000000-0004-0000-0A00-000000000000}"/>
  </hyperlinks>
  <pageMargins left="0.75" right="0.75" top="1" bottom="1" header="0.5" footer="0.5"/>
  <headerFooter alignWithMargins="0"/>
  <customProperties>
    <customPr name="SSCSheetTrackingNo" r:id="rId1"/>
  </customProperties>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B2:T84"/>
  <sheetViews>
    <sheetView topLeftCell="G1" workbookViewId="0">
      <selection activeCell="T14" sqref="T14"/>
    </sheetView>
  </sheetViews>
  <sheetFormatPr defaultColWidth="9.140625" defaultRowHeight="11.45" customHeight="1" x14ac:dyDescent="0.2"/>
  <cols>
    <col min="1" max="1" width="3.7109375" style="55" customWidth="1"/>
    <col min="2" max="2" width="3.7109375" style="54" customWidth="1"/>
    <col min="3" max="3" width="12.7109375" style="54" customWidth="1"/>
    <col min="4" max="16" width="9.140625" style="54"/>
    <col min="17" max="16384" width="9.140625" style="55"/>
  </cols>
  <sheetData>
    <row r="2" spans="2:20" ht="11.45" customHeight="1" x14ac:dyDescent="0.2">
      <c r="B2" s="1374" t="s">
        <v>1075</v>
      </c>
      <c r="C2" s="1375"/>
      <c r="D2" s="1375"/>
      <c r="E2" s="1375"/>
      <c r="F2" s="1375"/>
      <c r="G2" s="1375"/>
      <c r="H2" s="1375"/>
      <c r="I2" s="1375"/>
      <c r="J2" s="1375"/>
      <c r="K2" s="1375"/>
      <c r="L2" s="1375"/>
      <c r="M2" s="1376"/>
      <c r="N2" s="1376"/>
      <c r="O2" s="1376"/>
      <c r="P2" s="1377"/>
    </row>
    <row r="3" spans="2:20" ht="11.45" customHeight="1" x14ac:dyDescent="0.2">
      <c r="B3" s="1378"/>
      <c r="C3" s="1379"/>
      <c r="D3" s="1379"/>
      <c r="E3" s="1379"/>
      <c r="F3" s="1379"/>
      <c r="G3" s="1379"/>
      <c r="H3" s="1379"/>
      <c r="I3" s="1379"/>
      <c r="J3" s="1379"/>
      <c r="K3" s="1379"/>
      <c r="L3" s="1379"/>
      <c r="M3" s="1380"/>
      <c r="N3" s="1380"/>
      <c r="O3" s="1380"/>
      <c r="P3" s="1381"/>
    </row>
    <row r="4" spans="2:20" ht="8.1" customHeight="1" x14ac:dyDescent="0.2">
      <c r="B4" s="79"/>
      <c r="C4" s="80"/>
      <c r="D4" s="80"/>
      <c r="E4" s="80"/>
      <c r="F4" s="80"/>
      <c r="G4" s="80"/>
      <c r="H4" s="80"/>
      <c r="I4" s="80"/>
      <c r="J4" s="80"/>
      <c r="K4" s="80"/>
      <c r="L4" s="80"/>
      <c r="M4" s="95"/>
      <c r="N4" s="95"/>
      <c r="O4" s="95"/>
      <c r="P4" s="103"/>
    </row>
    <row r="5" spans="2:20" ht="11.45" customHeight="1" x14ac:dyDescent="0.2">
      <c r="B5" s="1664" t="s">
        <v>1076</v>
      </c>
      <c r="C5" s="1666"/>
      <c r="D5" s="1666"/>
      <c r="E5" s="1666"/>
      <c r="F5" s="1666"/>
      <c r="G5" s="1666"/>
      <c r="H5" s="1666"/>
      <c r="I5" s="1666"/>
      <c r="J5" s="1666"/>
      <c r="K5" s="1666"/>
      <c r="L5" s="1666"/>
      <c r="M5" s="1667"/>
      <c r="N5" s="1667"/>
      <c r="O5" s="1667"/>
      <c r="P5" s="1668"/>
    </row>
    <row r="6" spans="2:20" ht="11.45" customHeight="1" x14ac:dyDescent="0.2">
      <c r="B6" s="1669" t="s">
        <v>1077</v>
      </c>
      <c r="C6" s="1670"/>
      <c r="D6" s="1670"/>
      <c r="E6" s="1670"/>
      <c r="F6" s="1670"/>
      <c r="G6" s="1670"/>
      <c r="H6" s="1670"/>
      <c r="I6" s="1670"/>
      <c r="J6" s="1670"/>
      <c r="K6" s="1670"/>
      <c r="L6" s="1670"/>
      <c r="M6" s="1671"/>
      <c r="N6" s="1671"/>
      <c r="O6" s="1671"/>
      <c r="P6" s="1672"/>
    </row>
    <row r="7" spans="2:20" ht="11.45" customHeight="1" x14ac:dyDescent="0.2">
      <c r="B7" s="1665" t="s">
        <v>1078</v>
      </c>
      <c r="C7" s="1673"/>
      <c r="D7" s="1673"/>
      <c r="E7" s="1673"/>
      <c r="F7" s="1673"/>
      <c r="G7" s="1673"/>
      <c r="H7" s="1673"/>
      <c r="I7" s="1673"/>
      <c r="J7" s="1673"/>
      <c r="K7" s="1673"/>
      <c r="L7" s="1673"/>
      <c r="M7" s="1674"/>
      <c r="N7" s="1674"/>
      <c r="O7" s="1674"/>
      <c r="P7" s="1675"/>
    </row>
    <row r="8" spans="2:20" ht="8.1" customHeight="1" x14ac:dyDescent="0.2">
      <c r="B8" s="77"/>
      <c r="C8" s="78"/>
      <c r="D8" s="78"/>
      <c r="E8" s="78"/>
      <c r="F8" s="78"/>
      <c r="G8" s="78"/>
      <c r="H8" s="78"/>
      <c r="I8" s="78"/>
      <c r="J8" s="78"/>
      <c r="K8" s="78"/>
      <c r="L8" s="78"/>
      <c r="M8" s="104"/>
      <c r="N8" s="104"/>
      <c r="O8" s="104"/>
      <c r="P8" s="105"/>
    </row>
    <row r="9" spans="2:20" ht="11.45" customHeight="1" x14ac:dyDescent="0.2">
      <c r="B9" s="1779" t="s">
        <v>3985</v>
      </c>
      <c r="C9" s="1780"/>
      <c r="D9" s="913" t="s">
        <v>1079</v>
      </c>
      <c r="E9" s="82" t="s">
        <v>3480</v>
      </c>
      <c r="F9" s="82" t="s">
        <v>1080</v>
      </c>
      <c r="G9" s="82" t="s">
        <v>612</v>
      </c>
      <c r="H9" s="82" t="s">
        <v>1081</v>
      </c>
      <c r="I9" s="1783" t="s">
        <v>473</v>
      </c>
      <c r="J9" s="1784"/>
      <c r="K9" s="1784"/>
      <c r="L9" s="1784"/>
      <c r="M9" s="1784"/>
      <c r="N9" s="1784"/>
      <c r="O9" s="748" t="str">
        <f>'Wrk A'!H5</f>
        <v>Block</v>
      </c>
      <c r="P9" s="408"/>
    </row>
    <row r="10" spans="2:20" ht="11.45" customHeight="1" x14ac:dyDescent="0.2">
      <c r="B10" s="1781" t="str">
        <f>'Wrk A'!C15</f>
        <v>Jul &amp; Aug</v>
      </c>
      <c r="C10" s="1782"/>
      <c r="D10" s="948">
        <f>'Wrk A'!K16</f>
        <v>0.5</v>
      </c>
      <c r="E10" s="102">
        <f>'Wrk A'!J5</f>
        <v>36</v>
      </c>
      <c r="F10" s="102">
        <f>'Wrk A'!D27</f>
        <v>40</v>
      </c>
      <c r="G10" s="102">
        <f>'Wrk A'!J27</f>
        <v>24.099999999999994</v>
      </c>
      <c r="H10" s="138"/>
      <c r="I10" s="1371" t="s">
        <v>1088</v>
      </c>
      <c r="J10" s="1603"/>
      <c r="K10" s="1328"/>
      <c r="L10" s="56" t="s">
        <v>1096</v>
      </c>
      <c r="M10" s="56" t="s">
        <v>1100</v>
      </c>
      <c r="N10" s="56" t="s">
        <v>55</v>
      </c>
      <c r="O10" s="56" t="s">
        <v>1098</v>
      </c>
      <c r="P10" s="56" t="s">
        <v>1060</v>
      </c>
    </row>
    <row r="11" spans="2:20" ht="11.45" customHeight="1" x14ac:dyDescent="0.2">
      <c r="B11" s="1777" t="s">
        <v>62</v>
      </c>
      <c r="C11" s="1778"/>
      <c r="D11" s="83" t="s">
        <v>490</v>
      </c>
      <c r="E11" s="83" t="s">
        <v>1185</v>
      </c>
      <c r="F11" s="83" t="s">
        <v>1091</v>
      </c>
      <c r="G11" s="83" t="s">
        <v>1095</v>
      </c>
      <c r="H11" s="83" t="s">
        <v>1093</v>
      </c>
      <c r="I11" s="83" t="s">
        <v>1082</v>
      </c>
      <c r="J11" s="83" t="s">
        <v>1084</v>
      </c>
      <c r="K11" s="83" t="s">
        <v>1086</v>
      </c>
      <c r="L11" s="106" t="s">
        <v>1175</v>
      </c>
      <c r="M11" s="106" t="s">
        <v>1099</v>
      </c>
      <c r="N11" s="106" t="s">
        <v>56</v>
      </c>
      <c r="O11" s="106"/>
      <c r="P11" s="106" t="s">
        <v>1059</v>
      </c>
    </row>
    <row r="12" spans="2:20" ht="11.45" customHeight="1" x14ac:dyDescent="0.2">
      <c r="B12" s="1649"/>
      <c r="C12" s="1778"/>
      <c r="D12" s="85" t="s">
        <v>489</v>
      </c>
      <c r="E12" s="85" t="s">
        <v>1089</v>
      </c>
      <c r="F12" s="747" t="s">
        <v>3618</v>
      </c>
      <c r="G12" s="85" t="s">
        <v>1094</v>
      </c>
      <c r="H12" s="85" t="s">
        <v>1094</v>
      </c>
      <c r="I12" s="85" t="s">
        <v>1083</v>
      </c>
      <c r="J12" s="85" t="s">
        <v>1085</v>
      </c>
      <c r="K12" s="85" t="s">
        <v>1087</v>
      </c>
      <c r="L12" s="85"/>
      <c r="M12" s="106"/>
      <c r="N12" s="106" t="s">
        <v>1097</v>
      </c>
      <c r="O12" s="106"/>
      <c r="P12" s="106" t="s">
        <v>57</v>
      </c>
    </row>
    <row r="13" spans="2:20" ht="11.45" customHeight="1" x14ac:dyDescent="0.2">
      <c r="B13" s="1649"/>
      <c r="C13" s="1778"/>
      <c r="D13" s="747" t="s">
        <v>452</v>
      </c>
      <c r="E13" s="106" t="s">
        <v>1090</v>
      </c>
      <c r="F13" s="714"/>
      <c r="G13" s="85" t="s">
        <v>1092</v>
      </c>
      <c r="H13" s="85" t="s">
        <v>1092</v>
      </c>
      <c r="I13" s="64"/>
      <c r="J13" s="298"/>
      <c r="K13" s="105" t="s">
        <v>63</v>
      </c>
      <c r="L13" s="84"/>
      <c r="M13" s="11"/>
      <c r="N13" s="11" t="s">
        <v>3391</v>
      </c>
      <c r="O13" s="11"/>
      <c r="P13" s="11" t="s">
        <v>58</v>
      </c>
      <c r="Q13" s="54" t="s">
        <v>2563</v>
      </c>
      <c r="R13" s="54" t="s">
        <v>2564</v>
      </c>
    </row>
    <row r="14" spans="2:20" ht="11.45" customHeight="1" x14ac:dyDescent="0.2">
      <c r="B14" s="82" t="s">
        <v>481</v>
      </c>
      <c r="C14" s="746">
        <f>F14</f>
        <v>0</v>
      </c>
      <c r="D14" s="994">
        <f>GlassI!C5</f>
        <v>0</v>
      </c>
      <c r="E14" s="6" t="str">
        <f>GlassI!AI5</f>
        <v>None</v>
      </c>
      <c r="F14" s="138">
        <f>GlassI!X5</f>
        <v>0</v>
      </c>
      <c r="G14" s="87" t="str">
        <f>GlassI!AZ5</f>
        <v/>
      </c>
      <c r="H14" s="87" t="str">
        <f>GlassI!BC5</f>
        <v/>
      </c>
      <c r="I14" s="88" t="str">
        <f>GlassI!BF5</f>
        <v/>
      </c>
      <c r="J14" s="87" t="str">
        <f>GlassI!BI5</f>
        <v/>
      </c>
      <c r="K14" s="87">
        <v>1</v>
      </c>
      <c r="L14" s="591" t="str">
        <f>IF(D14=0,"",$F$10*G14)</f>
        <v/>
      </c>
      <c r="M14" s="591" t="str">
        <f>IF(D14=0,"",$I14*$J14*($H14/0.87)*$K14+$G14*$G$10)</f>
        <v/>
      </c>
      <c r="N14" s="87">
        <f>VLOOKUP(GlassI!AM5,KW!$D$109:$F$112,3,FALSE)</f>
        <v>1</v>
      </c>
      <c r="O14" s="591" t="str">
        <f>IF(D14=0,"",M14*N14)</f>
        <v/>
      </c>
      <c r="P14" s="89"/>
      <c r="Q14" s="1281" t="str">
        <f>M14</f>
        <v/>
      </c>
      <c r="R14" s="1281">
        <f>S67</f>
        <v>0</v>
      </c>
      <c r="S14" s="55">
        <f>GlassI!X17</f>
        <v>0</v>
      </c>
      <c r="T14" s="1281" t="str">
        <f>IF(S14="Yes",R14,Q14)</f>
        <v/>
      </c>
    </row>
    <row r="15" spans="2:20" ht="11.45" customHeight="1" x14ac:dyDescent="0.2">
      <c r="B15" s="82" t="s">
        <v>482</v>
      </c>
      <c r="C15" s="746">
        <f t="shared" ref="C15:C21" si="0">F15</f>
        <v>0</v>
      </c>
      <c r="D15" s="994">
        <f>GlassI!C6</f>
        <v>0</v>
      </c>
      <c r="E15" s="6" t="str">
        <f>GlassI!AI6</f>
        <v>None</v>
      </c>
      <c r="F15" s="138">
        <f>GlassI!X6</f>
        <v>0</v>
      </c>
      <c r="G15" s="87" t="str">
        <f>GlassI!AZ6</f>
        <v/>
      </c>
      <c r="H15" s="87" t="str">
        <f>GlassI!BC6</f>
        <v/>
      </c>
      <c r="I15" s="88" t="str">
        <f>GlassI!BF6</f>
        <v/>
      </c>
      <c r="J15" s="87" t="str">
        <f>GlassI!BI6</f>
        <v/>
      </c>
      <c r="K15" s="87">
        <v>1</v>
      </c>
      <c r="L15" s="591" t="str">
        <f t="shared" ref="L15:L21" si="1">IF(D15=0,"",$F$10*G15)</f>
        <v/>
      </c>
      <c r="M15" s="591" t="str">
        <f t="shared" ref="M15:M21" si="2">IF(D15=0,"",$I15*$J15*($H15/0.87)*$K15+$G15*$G$10)</f>
        <v/>
      </c>
      <c r="N15" s="87">
        <f>VLOOKUP(GlassI!AM6,KW!$D$109:$F$112,3,FALSE)</f>
        <v>1</v>
      </c>
      <c r="O15" s="591" t="str">
        <f t="shared" ref="O15:O21" si="3">IF(D15=0,"",M15*N15)</f>
        <v/>
      </c>
      <c r="P15" s="89"/>
      <c r="Q15" s="1281" t="str">
        <f t="shared" ref="Q15:Q21" si="4">M15</f>
        <v/>
      </c>
      <c r="R15" s="1281">
        <f t="shared" ref="R15:R21" si="5">S68</f>
        <v>0</v>
      </c>
      <c r="S15" s="55">
        <f>GlassI!X18</f>
        <v>0</v>
      </c>
      <c r="T15" s="1281" t="str">
        <f t="shared" ref="T15:T21" si="6">IF(S15="Yes",R15,Q15)</f>
        <v/>
      </c>
    </row>
    <row r="16" spans="2:20" ht="11.45" customHeight="1" x14ac:dyDescent="0.2">
      <c r="B16" s="82" t="s">
        <v>483</v>
      </c>
      <c r="C16" s="746">
        <f t="shared" si="0"/>
        <v>0</v>
      </c>
      <c r="D16" s="994">
        <f>GlassI!C7</f>
        <v>0</v>
      </c>
      <c r="E16" s="6" t="str">
        <f>GlassI!AI7</f>
        <v>None</v>
      </c>
      <c r="F16" s="138">
        <f>GlassI!X7</f>
        <v>0</v>
      </c>
      <c r="G16" s="87" t="str">
        <f>GlassI!AZ7</f>
        <v/>
      </c>
      <c r="H16" s="87" t="str">
        <f>GlassI!BC7</f>
        <v/>
      </c>
      <c r="I16" s="88" t="str">
        <f>GlassI!BF7</f>
        <v/>
      </c>
      <c r="J16" s="87" t="str">
        <f>GlassI!BI7</f>
        <v/>
      </c>
      <c r="K16" s="87">
        <f>VLOOKUP(GlassI!AI7,KW!$L$108:$M$109,2,FALSE)</f>
        <v>1</v>
      </c>
      <c r="L16" s="591" t="str">
        <f t="shared" si="1"/>
        <v/>
      </c>
      <c r="M16" s="591" t="str">
        <f t="shared" si="2"/>
        <v/>
      </c>
      <c r="N16" s="87">
        <f>VLOOKUP(GlassI!AM7,KW!$D$109:$F$112,3,FALSE)</f>
        <v>1</v>
      </c>
      <c r="O16" s="591" t="str">
        <f t="shared" si="3"/>
        <v/>
      </c>
      <c r="P16" s="89"/>
      <c r="Q16" s="1281" t="str">
        <f t="shared" si="4"/>
        <v/>
      </c>
      <c r="R16" s="1281">
        <f t="shared" si="5"/>
        <v>0</v>
      </c>
      <c r="S16" s="55">
        <f>GlassI!X19</f>
        <v>0</v>
      </c>
      <c r="T16" s="1281" t="str">
        <f t="shared" si="6"/>
        <v/>
      </c>
    </row>
    <row r="17" spans="2:20" ht="11.45" customHeight="1" x14ac:dyDescent="0.2">
      <c r="B17" s="82" t="s">
        <v>484</v>
      </c>
      <c r="C17" s="746">
        <f t="shared" si="0"/>
        <v>0</v>
      </c>
      <c r="D17" s="994">
        <f>GlassI!C8</f>
        <v>0</v>
      </c>
      <c r="E17" s="6" t="str">
        <f>GlassI!AI8</f>
        <v>None</v>
      </c>
      <c r="F17" s="138">
        <f>GlassI!X8</f>
        <v>0</v>
      </c>
      <c r="G17" s="87" t="str">
        <f>GlassI!AZ8</f>
        <v/>
      </c>
      <c r="H17" s="87" t="str">
        <f>GlassI!BC8</f>
        <v/>
      </c>
      <c r="I17" s="88" t="str">
        <f>GlassI!BF8</f>
        <v/>
      </c>
      <c r="J17" s="87" t="str">
        <f>GlassI!BI8</f>
        <v/>
      </c>
      <c r="K17" s="87">
        <f>VLOOKUP(GlassI!AI8,KW!$L$108:$M$109,2,FALSE)</f>
        <v>1</v>
      </c>
      <c r="L17" s="591" t="str">
        <f t="shared" si="1"/>
        <v/>
      </c>
      <c r="M17" s="591" t="str">
        <f t="shared" si="2"/>
        <v/>
      </c>
      <c r="N17" s="87">
        <f>VLOOKUP(GlassI!AM8,KW!$D$109:$F$112,3,FALSE)</f>
        <v>1</v>
      </c>
      <c r="O17" s="591" t="str">
        <f t="shared" si="3"/>
        <v/>
      </c>
      <c r="P17" s="89"/>
      <c r="Q17" s="1281" t="str">
        <f t="shared" si="4"/>
        <v/>
      </c>
      <c r="R17" s="1281">
        <f t="shared" si="5"/>
        <v>0</v>
      </c>
      <c r="S17" s="55">
        <f>GlassI!X20</f>
        <v>0</v>
      </c>
      <c r="T17" s="1281" t="str">
        <f t="shared" si="6"/>
        <v/>
      </c>
    </row>
    <row r="18" spans="2:20" ht="11.45" customHeight="1" x14ac:dyDescent="0.2">
      <c r="B18" s="82" t="s">
        <v>485</v>
      </c>
      <c r="C18" s="746">
        <f t="shared" si="0"/>
        <v>0</v>
      </c>
      <c r="D18" s="994">
        <f>GlassI!C9</f>
        <v>0</v>
      </c>
      <c r="E18" s="6" t="str">
        <f>GlassI!AI9</f>
        <v>None</v>
      </c>
      <c r="F18" s="138">
        <f>GlassI!X9</f>
        <v>0</v>
      </c>
      <c r="G18" s="87" t="str">
        <f>GlassI!AZ9</f>
        <v/>
      </c>
      <c r="H18" s="87" t="str">
        <f>GlassI!BC9</f>
        <v/>
      </c>
      <c r="I18" s="88" t="str">
        <f>GlassI!BF9</f>
        <v/>
      </c>
      <c r="J18" s="87" t="str">
        <f>GlassI!BI9</f>
        <v/>
      </c>
      <c r="K18" s="87">
        <f>VLOOKUP(GlassI!AI9,KW!$L$108:$M$109,2,FALSE)</f>
        <v>1</v>
      </c>
      <c r="L18" s="591" t="str">
        <f t="shared" si="1"/>
        <v/>
      </c>
      <c r="M18" s="591" t="str">
        <f t="shared" si="2"/>
        <v/>
      </c>
      <c r="N18" s="87">
        <f>VLOOKUP(GlassI!AM9,KW!$D$109:$F$112,3,FALSE)</f>
        <v>1</v>
      </c>
      <c r="O18" s="591" t="str">
        <f t="shared" si="3"/>
        <v/>
      </c>
      <c r="P18" s="89"/>
      <c r="Q18" s="1281" t="str">
        <f t="shared" si="4"/>
        <v/>
      </c>
      <c r="R18" s="1281">
        <f t="shared" si="5"/>
        <v>0</v>
      </c>
      <c r="S18" s="55">
        <f>GlassI!X21</f>
        <v>0</v>
      </c>
      <c r="T18" s="1281" t="str">
        <f t="shared" si="6"/>
        <v/>
      </c>
    </row>
    <row r="19" spans="2:20" ht="11.45" customHeight="1" x14ac:dyDescent="0.2">
      <c r="B19" s="82" t="s">
        <v>486</v>
      </c>
      <c r="C19" s="746">
        <f t="shared" si="0"/>
        <v>0</v>
      </c>
      <c r="D19" s="994">
        <f>GlassI!C10</f>
        <v>0</v>
      </c>
      <c r="E19" s="6" t="str">
        <f>GlassI!AI10</f>
        <v>None</v>
      </c>
      <c r="F19" s="138">
        <f>GlassI!X10</f>
        <v>0</v>
      </c>
      <c r="G19" s="87" t="str">
        <f>GlassI!AZ10</f>
        <v/>
      </c>
      <c r="H19" s="87" t="str">
        <f>GlassI!BC10</f>
        <v/>
      </c>
      <c r="I19" s="88" t="str">
        <f>GlassI!BF10</f>
        <v/>
      </c>
      <c r="J19" s="87" t="str">
        <f>GlassI!BI10</f>
        <v/>
      </c>
      <c r="K19" s="87">
        <f>VLOOKUP(GlassI!AI10,KW!$L$108:$M$109,2,FALSE)</f>
        <v>1</v>
      </c>
      <c r="L19" s="591" t="str">
        <f t="shared" si="1"/>
        <v/>
      </c>
      <c r="M19" s="591" t="str">
        <f t="shared" si="2"/>
        <v/>
      </c>
      <c r="N19" s="87">
        <f>VLOOKUP(GlassI!AM10,KW!$D$109:$F$112,3,FALSE)</f>
        <v>1</v>
      </c>
      <c r="O19" s="591" t="str">
        <f t="shared" si="3"/>
        <v/>
      </c>
      <c r="P19" s="89"/>
      <c r="Q19" s="1281" t="str">
        <f t="shared" si="4"/>
        <v/>
      </c>
      <c r="R19" s="1281">
        <f t="shared" si="5"/>
        <v>0</v>
      </c>
      <c r="S19" s="55">
        <f>GlassI!X22</f>
        <v>0</v>
      </c>
      <c r="T19" s="1281" t="str">
        <f t="shared" si="6"/>
        <v/>
      </c>
    </row>
    <row r="20" spans="2:20" ht="11.45" customHeight="1" x14ac:dyDescent="0.2">
      <c r="B20" s="82" t="s">
        <v>487</v>
      </c>
      <c r="C20" s="746">
        <f t="shared" si="0"/>
        <v>0</v>
      </c>
      <c r="D20" s="994">
        <f>GlassI!C11</f>
        <v>0</v>
      </c>
      <c r="E20" s="6" t="str">
        <f>GlassI!AI11</f>
        <v>None</v>
      </c>
      <c r="F20" s="138">
        <f>GlassI!X11</f>
        <v>0</v>
      </c>
      <c r="G20" s="87" t="str">
        <f>GlassI!AZ11</f>
        <v/>
      </c>
      <c r="H20" s="87" t="str">
        <f>GlassI!BC11</f>
        <v/>
      </c>
      <c r="I20" s="88" t="str">
        <f>GlassI!BF11</f>
        <v/>
      </c>
      <c r="J20" s="87" t="str">
        <f>GlassI!BI11</f>
        <v/>
      </c>
      <c r="K20" s="87">
        <f>VLOOKUP(GlassI!AI11,KW!$L$108:$M$109,2,FALSE)</f>
        <v>1</v>
      </c>
      <c r="L20" s="591" t="str">
        <f t="shared" si="1"/>
        <v/>
      </c>
      <c r="M20" s="591" t="str">
        <f t="shared" si="2"/>
        <v/>
      </c>
      <c r="N20" s="87">
        <f>VLOOKUP(GlassI!AM11,KW!$D$109:$F$112,3,FALSE)</f>
        <v>1</v>
      </c>
      <c r="O20" s="591" t="str">
        <f t="shared" si="3"/>
        <v/>
      </c>
      <c r="P20" s="89"/>
      <c r="Q20" s="1281" t="str">
        <f t="shared" si="4"/>
        <v/>
      </c>
      <c r="R20" s="1281">
        <f t="shared" si="5"/>
        <v>0</v>
      </c>
      <c r="S20" s="55">
        <f>GlassI!X23</f>
        <v>0</v>
      </c>
      <c r="T20" s="1281" t="str">
        <f t="shared" si="6"/>
        <v/>
      </c>
    </row>
    <row r="21" spans="2:20" ht="11.45" customHeight="1" x14ac:dyDescent="0.2">
      <c r="B21" s="82" t="s">
        <v>488</v>
      </c>
      <c r="C21" s="746">
        <f t="shared" si="0"/>
        <v>0</v>
      </c>
      <c r="D21" s="994">
        <f>GlassI!C12</f>
        <v>0</v>
      </c>
      <c r="E21" s="6" t="str">
        <f>GlassI!AI12</f>
        <v>None</v>
      </c>
      <c r="F21" s="138">
        <f>GlassI!X12</f>
        <v>0</v>
      </c>
      <c r="G21" s="87" t="str">
        <f>GlassI!AZ12</f>
        <v/>
      </c>
      <c r="H21" s="87" t="str">
        <f>GlassI!BC12</f>
        <v/>
      </c>
      <c r="I21" s="88" t="str">
        <f>GlassI!BF12</f>
        <v/>
      </c>
      <c r="J21" s="87" t="str">
        <f>GlassI!BI12</f>
        <v/>
      </c>
      <c r="K21" s="87">
        <f>VLOOKUP(GlassI!AI12,KW!$L$108:$M$109,2,FALSE)</f>
        <v>1</v>
      </c>
      <c r="L21" s="591" t="str">
        <f t="shared" si="1"/>
        <v/>
      </c>
      <c r="M21" s="591" t="str">
        <f t="shared" si="2"/>
        <v/>
      </c>
      <c r="N21" s="87">
        <f>VLOOKUP(GlassI!AM12,KW!$D$109:$F$112,3,FALSE)</f>
        <v>1</v>
      </c>
      <c r="O21" s="591" t="str">
        <f t="shared" si="3"/>
        <v/>
      </c>
      <c r="P21" s="89"/>
      <c r="Q21" s="1281" t="str">
        <f t="shared" si="4"/>
        <v/>
      </c>
      <c r="R21" s="1281">
        <f t="shared" si="5"/>
        <v>0</v>
      </c>
      <c r="S21" s="55">
        <f>GlassI!X24</f>
        <v>0</v>
      </c>
      <c r="T21" s="1281" t="str">
        <f t="shared" si="6"/>
        <v/>
      </c>
    </row>
    <row r="22" spans="2:20" ht="8.1" customHeight="1" x14ac:dyDescent="0.2">
      <c r="B22" s="79"/>
      <c r="C22" s="80"/>
      <c r="D22" s="80"/>
      <c r="E22" s="80"/>
      <c r="F22" s="80"/>
      <c r="G22" s="80"/>
      <c r="H22" s="80"/>
      <c r="I22" s="80"/>
      <c r="J22" s="80"/>
      <c r="K22" s="80"/>
      <c r="L22" s="100"/>
      <c r="M22" s="95"/>
      <c r="N22" s="95"/>
      <c r="O22" s="95"/>
      <c r="P22" s="103"/>
    </row>
    <row r="23" spans="2:20" ht="11.45" customHeight="1" x14ac:dyDescent="0.2">
      <c r="B23" s="1664" t="s">
        <v>980</v>
      </c>
      <c r="C23" s="1666"/>
      <c r="D23" s="1666"/>
      <c r="E23" s="1666"/>
      <c r="F23" s="1666"/>
      <c r="G23" s="1666"/>
      <c r="H23" s="1666"/>
      <c r="I23" s="1666"/>
      <c r="J23" s="1666"/>
      <c r="K23" s="1666"/>
      <c r="L23" s="1666"/>
      <c r="M23" s="1667"/>
      <c r="N23" s="1667"/>
      <c r="O23" s="1667"/>
      <c r="P23" s="1668"/>
    </row>
    <row r="24" spans="2:20" ht="11.45" customHeight="1" x14ac:dyDescent="0.2">
      <c r="B24" s="1669" t="s">
        <v>981</v>
      </c>
      <c r="C24" s="1670"/>
      <c r="D24" s="1670"/>
      <c r="E24" s="1670"/>
      <c r="F24" s="1670"/>
      <c r="G24" s="1670"/>
      <c r="H24" s="1670"/>
      <c r="I24" s="1670"/>
      <c r="J24" s="1670"/>
      <c r="K24" s="1670"/>
      <c r="L24" s="1670"/>
      <c r="M24" s="1671"/>
      <c r="N24" s="1671"/>
      <c r="O24" s="1671"/>
      <c r="P24" s="1672"/>
    </row>
    <row r="25" spans="2:20" ht="11.45" customHeight="1" x14ac:dyDescent="0.2">
      <c r="B25" s="1665" t="s">
        <v>2095</v>
      </c>
      <c r="C25" s="1673"/>
      <c r="D25" s="1673"/>
      <c r="E25" s="1673"/>
      <c r="F25" s="1673"/>
      <c r="G25" s="1673"/>
      <c r="H25" s="1673"/>
      <c r="I25" s="1673"/>
      <c r="J25" s="1673"/>
      <c r="K25" s="1673"/>
      <c r="L25" s="1673"/>
      <c r="M25" s="1674"/>
      <c r="N25" s="1674"/>
      <c r="O25" s="1674"/>
      <c r="P25" s="1675"/>
    </row>
    <row r="26" spans="2:20" ht="11.45" customHeight="1" x14ac:dyDescent="0.2">
      <c r="B26" s="1777" t="s">
        <v>2096</v>
      </c>
      <c r="C26" s="1650"/>
      <c r="D26" s="1382" t="s">
        <v>2097</v>
      </c>
      <c r="E26" s="1785"/>
      <c r="F26" s="91" t="s">
        <v>1174</v>
      </c>
      <c r="G26" s="85" t="s">
        <v>2098</v>
      </c>
      <c r="H26" s="85" t="s">
        <v>2098</v>
      </c>
      <c r="I26" s="85" t="s">
        <v>2758</v>
      </c>
      <c r="J26" s="85" t="s">
        <v>2758</v>
      </c>
      <c r="K26" s="79" t="s">
        <v>2098</v>
      </c>
      <c r="L26" s="107"/>
      <c r="M26" s="103" t="s">
        <v>1100</v>
      </c>
      <c r="N26" s="106" t="s">
        <v>2098</v>
      </c>
      <c r="O26" s="106" t="s">
        <v>2102</v>
      </c>
      <c r="P26" s="107"/>
    </row>
    <row r="27" spans="2:20" ht="11.45" customHeight="1" x14ac:dyDescent="0.2">
      <c r="B27" s="1649"/>
      <c r="C27" s="1650"/>
      <c r="D27" s="1777"/>
      <c r="E27" s="1786"/>
      <c r="F27" s="91"/>
      <c r="G27" s="85" t="s">
        <v>2099</v>
      </c>
      <c r="H27" s="85" t="s">
        <v>1093</v>
      </c>
      <c r="I27" s="85" t="s">
        <v>1082</v>
      </c>
      <c r="J27" s="85" t="s">
        <v>1084</v>
      </c>
      <c r="K27" s="79" t="s">
        <v>1086</v>
      </c>
      <c r="L27" s="108"/>
      <c r="M27" s="103" t="s">
        <v>2100</v>
      </c>
      <c r="N27" s="106" t="s">
        <v>2101</v>
      </c>
      <c r="O27" s="106"/>
      <c r="P27" s="108"/>
    </row>
    <row r="28" spans="2:20" ht="11.45" customHeight="1" x14ac:dyDescent="0.2">
      <c r="B28" s="1649"/>
      <c r="C28" s="1650"/>
      <c r="D28" s="1777"/>
      <c r="E28" s="1786"/>
      <c r="F28" s="92"/>
      <c r="G28" s="84"/>
      <c r="H28" s="84"/>
      <c r="I28" s="84" t="s">
        <v>1083</v>
      </c>
      <c r="J28" s="84" t="s">
        <v>1085</v>
      </c>
      <c r="K28" s="101"/>
      <c r="L28" s="108"/>
      <c r="M28" s="105"/>
      <c r="N28" s="11"/>
      <c r="O28" s="11"/>
      <c r="P28" s="108"/>
    </row>
    <row r="29" spans="2:20" ht="11.45" customHeight="1" x14ac:dyDescent="0.2">
      <c r="B29" s="90" t="s">
        <v>481</v>
      </c>
      <c r="C29" s="745">
        <f>C14</f>
        <v>0</v>
      </c>
      <c r="D29" s="1777"/>
      <c r="E29" s="1786"/>
      <c r="F29" s="1791" t="s">
        <v>2758</v>
      </c>
      <c r="G29" s="86" t="str">
        <f t="shared" ref="G29:H36" si="7">G14</f>
        <v/>
      </c>
      <c r="H29" s="86" t="str">
        <f t="shared" si="7"/>
        <v/>
      </c>
      <c r="I29" s="89">
        <f>IF(GlassI!X17="Yes",(VLOOKUP($F$29,KW!$A$65:$J$73,10)),0)</f>
        <v>0</v>
      </c>
      <c r="J29" s="87">
        <f>IF(GlassI!X17="YES",VLOOKUP($F$29,KW!$A$110:$B$118,2,FALSE),0)</f>
        <v>0</v>
      </c>
      <c r="K29" s="86">
        <f>K14</f>
        <v>1</v>
      </c>
      <c r="L29" s="108"/>
      <c r="M29" s="591" t="str">
        <f>IF(D14=0,"",$I29*$J29*($H29/0.87)*$K29+$G29*$G$10)</f>
        <v/>
      </c>
      <c r="N29" s="109">
        <f>N14</f>
        <v>1</v>
      </c>
      <c r="O29" s="109" t="str">
        <f>IF(D14=0,"",M29*N29)</f>
        <v/>
      </c>
      <c r="P29" s="108"/>
    </row>
    <row r="30" spans="2:20" ht="11.45" customHeight="1" x14ac:dyDescent="0.2">
      <c r="B30" s="90" t="s">
        <v>482</v>
      </c>
      <c r="C30" s="745">
        <f t="shared" ref="C30:C36" si="8">C15</f>
        <v>0</v>
      </c>
      <c r="D30" s="1777"/>
      <c r="E30" s="1786"/>
      <c r="F30" s="1792"/>
      <c r="G30" s="86" t="str">
        <f t="shared" si="7"/>
        <v/>
      </c>
      <c r="H30" s="86" t="str">
        <f t="shared" si="7"/>
        <v/>
      </c>
      <c r="I30" s="89">
        <f>IF(GlassI!X18="Yes",(VLOOKUP($F$29,KW!$A$65:$J$73,10)),0)</f>
        <v>0</v>
      </c>
      <c r="J30" s="87">
        <f>IF(GlassI!X18="YES",VLOOKUP($F$29,KW!$A$110:$B$118,2,FALSE),0)</f>
        <v>0</v>
      </c>
      <c r="K30" s="86">
        <f t="shared" ref="K30:K36" si="9">K15</f>
        <v>1</v>
      </c>
      <c r="L30" s="108"/>
      <c r="M30" s="591" t="str">
        <f t="shared" ref="M30:M36" si="10">IF(D15=0,"",$I30*$J30*($H30/0.87)*$K30+$G30*$G$10)</f>
        <v/>
      </c>
      <c r="N30" s="109">
        <f t="shared" ref="N30:N36" si="11">N15</f>
        <v>1</v>
      </c>
      <c r="O30" s="109" t="str">
        <f t="shared" ref="O30:O36" si="12">IF(D15=0,"",M30*N30)</f>
        <v/>
      </c>
      <c r="P30" s="108"/>
    </row>
    <row r="31" spans="2:20" ht="11.45" customHeight="1" x14ac:dyDescent="0.2">
      <c r="B31" s="90" t="s">
        <v>483</v>
      </c>
      <c r="C31" s="745">
        <f t="shared" si="8"/>
        <v>0</v>
      </c>
      <c r="D31" s="1777"/>
      <c r="E31" s="1786"/>
      <c r="F31" s="1792"/>
      <c r="G31" s="86" t="str">
        <f t="shared" si="7"/>
        <v/>
      </c>
      <c r="H31" s="86" t="str">
        <f t="shared" si="7"/>
        <v/>
      </c>
      <c r="I31" s="89">
        <f>IF(GlassI!X19="Yes",(VLOOKUP($F$29,KW!$A$65:$J$73,10)),0)</f>
        <v>0</v>
      </c>
      <c r="J31" s="87">
        <f>IF(GlassI!X19="YES",VLOOKUP($F$29,KW!$A$110:$B$118,2,FALSE),0)</f>
        <v>0</v>
      </c>
      <c r="K31" s="86">
        <f t="shared" si="9"/>
        <v>1</v>
      </c>
      <c r="L31" s="108"/>
      <c r="M31" s="591" t="str">
        <f t="shared" si="10"/>
        <v/>
      </c>
      <c r="N31" s="109">
        <f t="shared" si="11"/>
        <v>1</v>
      </c>
      <c r="O31" s="109" t="str">
        <f t="shared" si="12"/>
        <v/>
      </c>
      <c r="P31" s="108"/>
    </row>
    <row r="32" spans="2:20" ht="11.45" customHeight="1" x14ac:dyDescent="0.2">
      <c r="B32" s="90" t="s">
        <v>484</v>
      </c>
      <c r="C32" s="745">
        <f t="shared" si="8"/>
        <v>0</v>
      </c>
      <c r="D32" s="1777"/>
      <c r="E32" s="1786"/>
      <c r="F32" s="1792"/>
      <c r="G32" s="86" t="str">
        <f t="shared" si="7"/>
        <v/>
      </c>
      <c r="H32" s="86" t="str">
        <f t="shared" si="7"/>
        <v/>
      </c>
      <c r="I32" s="89">
        <f>IF(GlassI!X20="Yes",(VLOOKUP($F$29,KW!$A$65:$J$73,10)),0)</f>
        <v>0</v>
      </c>
      <c r="J32" s="87">
        <f>IF(GlassI!X20="YES",VLOOKUP($F$29,KW!$A$110:$B$118,2,FALSE),0)</f>
        <v>0</v>
      </c>
      <c r="K32" s="86">
        <f t="shared" si="9"/>
        <v>1</v>
      </c>
      <c r="L32" s="108"/>
      <c r="M32" s="591" t="str">
        <f t="shared" si="10"/>
        <v/>
      </c>
      <c r="N32" s="109">
        <f t="shared" si="11"/>
        <v>1</v>
      </c>
      <c r="O32" s="109" t="str">
        <f t="shared" si="12"/>
        <v/>
      </c>
      <c r="P32" s="108"/>
    </row>
    <row r="33" spans="2:16" ht="11.45" customHeight="1" x14ac:dyDescent="0.2">
      <c r="B33" s="90" t="s">
        <v>485</v>
      </c>
      <c r="C33" s="745">
        <f t="shared" si="8"/>
        <v>0</v>
      </c>
      <c r="D33" s="1777"/>
      <c r="E33" s="1786"/>
      <c r="F33" s="1792"/>
      <c r="G33" s="86" t="str">
        <f t="shared" si="7"/>
        <v/>
      </c>
      <c r="H33" s="86" t="str">
        <f t="shared" si="7"/>
        <v/>
      </c>
      <c r="I33" s="89">
        <f>IF(GlassI!X21="Yes",(VLOOKUP($F$29,KW!$A$65:$J$73,10)),0)</f>
        <v>0</v>
      </c>
      <c r="J33" s="87">
        <f>IF(GlassI!X21="YES",VLOOKUP($F$29,KW!$A$110:$B$118,2,FALSE),0)</f>
        <v>0</v>
      </c>
      <c r="K33" s="86">
        <f t="shared" si="9"/>
        <v>1</v>
      </c>
      <c r="L33" s="108"/>
      <c r="M33" s="591" t="str">
        <f t="shared" si="10"/>
        <v/>
      </c>
      <c r="N33" s="109">
        <f t="shared" si="11"/>
        <v>1</v>
      </c>
      <c r="O33" s="109" t="str">
        <f t="shared" si="12"/>
        <v/>
      </c>
      <c r="P33" s="108"/>
    </row>
    <row r="34" spans="2:16" ht="11.45" customHeight="1" x14ac:dyDescent="0.2">
      <c r="B34" s="90" t="s">
        <v>486</v>
      </c>
      <c r="C34" s="745">
        <f t="shared" si="8"/>
        <v>0</v>
      </c>
      <c r="D34" s="1787"/>
      <c r="E34" s="1788"/>
      <c r="F34" s="1792"/>
      <c r="G34" s="86" t="str">
        <f t="shared" si="7"/>
        <v/>
      </c>
      <c r="H34" s="86" t="str">
        <f t="shared" si="7"/>
        <v/>
      </c>
      <c r="I34" s="89">
        <f>IF(GlassI!X22="Yes",(VLOOKUP($F$29,KW!$A$65:$J$73,10)),0)</f>
        <v>0</v>
      </c>
      <c r="J34" s="87">
        <f>IF(GlassI!X22="YES",VLOOKUP($F$29,KW!$A$110:$B$118,2,FALSE),0)</f>
        <v>0</v>
      </c>
      <c r="K34" s="86">
        <f t="shared" si="9"/>
        <v>1</v>
      </c>
      <c r="L34" s="108"/>
      <c r="M34" s="591" t="str">
        <f t="shared" si="10"/>
        <v/>
      </c>
      <c r="N34" s="109">
        <f t="shared" si="11"/>
        <v>1</v>
      </c>
      <c r="O34" s="109" t="str">
        <f t="shared" si="12"/>
        <v/>
      </c>
      <c r="P34" s="108"/>
    </row>
    <row r="35" spans="2:16" ht="11.45" customHeight="1" x14ac:dyDescent="0.2">
      <c r="B35" s="90" t="s">
        <v>487</v>
      </c>
      <c r="C35" s="745">
        <f t="shared" si="8"/>
        <v>0</v>
      </c>
      <c r="D35" s="1787"/>
      <c r="E35" s="1788"/>
      <c r="F35" s="1792"/>
      <c r="G35" s="86" t="str">
        <f t="shared" si="7"/>
        <v/>
      </c>
      <c r="H35" s="86" t="str">
        <f t="shared" si="7"/>
        <v/>
      </c>
      <c r="I35" s="89">
        <f>IF(GlassI!X23="Yes",(VLOOKUP($F$29,KW!$A$65:$J$73,10)),0)</f>
        <v>0</v>
      </c>
      <c r="J35" s="87">
        <f>IF(GlassI!X23="YES",VLOOKUP($F$29,KW!$A$110:$B$118,2,FALSE),0)</f>
        <v>0</v>
      </c>
      <c r="K35" s="86">
        <f t="shared" si="9"/>
        <v>1</v>
      </c>
      <c r="L35" s="108"/>
      <c r="M35" s="591" t="str">
        <f t="shared" si="10"/>
        <v/>
      </c>
      <c r="N35" s="109">
        <f t="shared" si="11"/>
        <v>1</v>
      </c>
      <c r="O35" s="109" t="str">
        <f t="shared" si="12"/>
        <v/>
      </c>
      <c r="P35" s="108"/>
    </row>
    <row r="36" spans="2:16" ht="11.45" customHeight="1" x14ac:dyDescent="0.2">
      <c r="B36" s="90" t="s">
        <v>488</v>
      </c>
      <c r="C36" s="745">
        <f t="shared" si="8"/>
        <v>0</v>
      </c>
      <c r="D36" s="1789"/>
      <c r="E36" s="1790"/>
      <c r="F36" s="1793"/>
      <c r="G36" s="86" t="str">
        <f t="shared" si="7"/>
        <v/>
      </c>
      <c r="H36" s="86" t="str">
        <f t="shared" si="7"/>
        <v/>
      </c>
      <c r="I36" s="89">
        <f>IF(GlassI!X24="Yes",(VLOOKUP($F$29,KW!$A$65:$J$73,10)),0)</f>
        <v>0</v>
      </c>
      <c r="J36" s="87">
        <f>IF(GlassI!X24="YES",VLOOKUP($F$29,KW!$A$110:$B$118,2,FALSE),0)</f>
        <v>0</v>
      </c>
      <c r="K36" s="86">
        <f t="shared" si="9"/>
        <v>1</v>
      </c>
      <c r="L36" s="110"/>
      <c r="M36" s="591" t="str">
        <f t="shared" si="10"/>
        <v/>
      </c>
      <c r="N36" s="109">
        <f t="shared" si="11"/>
        <v>1</v>
      </c>
      <c r="O36" s="109" t="str">
        <f t="shared" si="12"/>
        <v/>
      </c>
      <c r="P36" s="110"/>
    </row>
    <row r="37" spans="2:16" ht="11.45" customHeight="1" x14ac:dyDescent="0.2">
      <c r="B37" s="1795" t="s">
        <v>491</v>
      </c>
      <c r="C37" s="1796"/>
      <c r="D37" s="1796"/>
      <c r="E37" s="1796"/>
      <c r="F37" s="1796"/>
      <c r="G37" s="96"/>
      <c r="H37" s="100"/>
      <c r="I37" s="80"/>
      <c r="J37" s="80"/>
      <c r="K37" s="80"/>
      <c r="L37" s="147" t="s">
        <v>2604</v>
      </c>
      <c r="M37" s="95"/>
      <c r="N37" s="95"/>
      <c r="O37" s="95" t="s">
        <v>610</v>
      </c>
      <c r="P37" s="103" t="s">
        <v>611</v>
      </c>
    </row>
    <row r="38" spans="2:16" ht="11.45" customHeight="1" x14ac:dyDescent="0.2">
      <c r="B38" s="98" t="s">
        <v>2103</v>
      </c>
      <c r="C38" s="99"/>
      <c r="D38" s="97"/>
      <c r="E38" s="97"/>
      <c r="F38" s="96"/>
      <c r="G38" s="95"/>
      <c r="H38" s="97" t="s">
        <v>3731</v>
      </c>
      <c r="I38" s="80"/>
      <c r="J38" s="80"/>
      <c r="K38" s="80"/>
      <c r="L38" s="96"/>
      <c r="M38" s="95"/>
      <c r="N38" s="95" t="s">
        <v>2605</v>
      </c>
      <c r="O38" s="95">
        <v>0.8</v>
      </c>
      <c r="P38" s="103">
        <v>0.9</v>
      </c>
    </row>
    <row r="39" spans="2:16" ht="11.45" customHeight="1" x14ac:dyDescent="0.2">
      <c r="B39" s="98" t="s">
        <v>3727</v>
      </c>
      <c r="C39" s="99"/>
      <c r="D39" s="97"/>
      <c r="E39" s="97"/>
      <c r="F39" s="96"/>
      <c r="G39" s="95"/>
      <c r="H39" s="97" t="s">
        <v>2225</v>
      </c>
      <c r="I39" s="80"/>
      <c r="J39" s="80"/>
      <c r="K39" s="80"/>
      <c r="L39" s="96"/>
      <c r="M39" s="95"/>
      <c r="N39" s="95" t="s">
        <v>790</v>
      </c>
      <c r="O39" s="95">
        <v>0.9</v>
      </c>
      <c r="P39" s="103">
        <v>0.95</v>
      </c>
    </row>
    <row r="40" spans="2:16" ht="11.45" customHeight="1" x14ac:dyDescent="0.2">
      <c r="B40" s="98" t="s">
        <v>3728</v>
      </c>
      <c r="C40" s="99"/>
      <c r="D40" s="97"/>
      <c r="E40" s="97"/>
      <c r="F40" s="96"/>
      <c r="G40" s="95"/>
      <c r="H40" s="97" t="s">
        <v>2226</v>
      </c>
      <c r="I40" s="80"/>
      <c r="J40" s="80"/>
      <c r="K40" s="80"/>
      <c r="L40" s="96" t="s">
        <v>3387</v>
      </c>
      <c r="M40" s="95"/>
      <c r="N40" s="95"/>
      <c r="O40" s="95"/>
      <c r="P40" s="103"/>
    </row>
    <row r="41" spans="2:16" ht="11.45" customHeight="1" x14ac:dyDescent="0.2">
      <c r="B41" s="98" t="s">
        <v>3729</v>
      </c>
      <c r="C41" s="99"/>
      <c r="D41" s="97"/>
      <c r="E41" s="97"/>
      <c r="F41" s="96"/>
      <c r="G41" s="95"/>
      <c r="H41" s="97" t="s">
        <v>2227</v>
      </c>
      <c r="I41" s="80"/>
      <c r="J41" s="80"/>
      <c r="K41" s="80"/>
      <c r="L41" s="96" t="s">
        <v>3388</v>
      </c>
      <c r="M41" s="95"/>
      <c r="N41" s="95"/>
      <c r="O41" s="95"/>
      <c r="P41" s="103"/>
    </row>
    <row r="42" spans="2:16" ht="11.45" customHeight="1" x14ac:dyDescent="0.2">
      <c r="B42" s="98" t="s">
        <v>3730</v>
      </c>
      <c r="C42" s="99"/>
      <c r="D42" s="97"/>
      <c r="E42" s="97"/>
      <c r="F42" s="96"/>
      <c r="G42" s="80"/>
      <c r="H42" s="171" t="s">
        <v>2603</v>
      </c>
      <c r="I42" s="80"/>
      <c r="J42" s="80"/>
      <c r="K42" s="80"/>
      <c r="L42" s="111" t="s">
        <v>3390</v>
      </c>
      <c r="M42" s="104"/>
      <c r="N42" s="104"/>
      <c r="O42" s="104"/>
      <c r="P42" s="105"/>
    </row>
    <row r="43" spans="2:16" ht="8.1" customHeight="1" x14ac:dyDescent="0.2">
      <c r="B43" s="112"/>
      <c r="C43" s="113"/>
      <c r="D43" s="113"/>
      <c r="E43" s="113"/>
      <c r="F43" s="113"/>
      <c r="G43" s="113"/>
      <c r="H43" s="113"/>
      <c r="I43" s="113"/>
      <c r="J43" s="113"/>
      <c r="K43" s="113"/>
      <c r="L43" s="113"/>
      <c r="M43" s="95"/>
      <c r="N43" s="95"/>
      <c r="O43" s="95"/>
      <c r="P43" s="103"/>
    </row>
    <row r="44" spans="2:16" ht="11.45" customHeight="1" x14ac:dyDescent="0.2">
      <c r="B44" s="1664" t="s">
        <v>3392</v>
      </c>
      <c r="C44" s="1616"/>
      <c r="D44" s="1616"/>
      <c r="E44" s="1616"/>
      <c r="F44" s="1616"/>
      <c r="G44" s="1616"/>
      <c r="H44" s="1616"/>
      <c r="I44" s="1616"/>
      <c r="J44" s="1616"/>
      <c r="K44" s="1616"/>
      <c r="L44" s="1616"/>
      <c r="M44" s="1616"/>
      <c r="N44" s="1616"/>
      <c r="O44" s="1616"/>
      <c r="P44" s="1360"/>
    </row>
    <row r="45" spans="2:16" ht="11.45" customHeight="1" x14ac:dyDescent="0.2">
      <c r="B45" s="77"/>
      <c r="C45" s="44"/>
      <c r="D45" s="44"/>
      <c r="E45" s="44"/>
      <c r="F45" s="44"/>
      <c r="G45" s="44"/>
      <c r="H45" s="44"/>
      <c r="I45" s="44"/>
      <c r="J45" s="44"/>
      <c r="K45" s="831" t="s">
        <v>167</v>
      </c>
      <c r="L45" s="833" t="str">
        <f>'Wrk A'!C15</f>
        <v>Jul &amp; Aug</v>
      </c>
      <c r="M45" s="831" t="s">
        <v>168</v>
      </c>
      <c r="N45" s="834">
        <f>'Wrk A'!K16</f>
        <v>0.5</v>
      </c>
      <c r="O45" s="831" t="s">
        <v>166</v>
      </c>
      <c r="P45" s="832">
        <f>'Wrk A'!J5</f>
        <v>36</v>
      </c>
    </row>
    <row r="46" spans="2:16" ht="11.45" customHeight="1" x14ac:dyDescent="0.2">
      <c r="B46" s="1382" t="s">
        <v>2096</v>
      </c>
      <c r="C46" s="1797"/>
      <c r="D46" s="1664" t="s">
        <v>1020</v>
      </c>
      <c r="E46" s="1616"/>
      <c r="F46" s="1616"/>
      <c r="G46" s="1360"/>
      <c r="H46" s="1664" t="s">
        <v>1034</v>
      </c>
      <c r="I46" s="1616"/>
      <c r="J46" s="1616"/>
      <c r="K46" s="1616"/>
      <c r="L46" s="1616"/>
      <c r="M46" s="1616"/>
      <c r="N46" s="1616"/>
      <c r="O46" s="1616"/>
      <c r="P46" s="1360"/>
    </row>
    <row r="47" spans="2:16" ht="11.45" customHeight="1" x14ac:dyDescent="0.2">
      <c r="B47" s="1649"/>
      <c r="C47" s="1798"/>
      <c r="D47" s="1799" t="s">
        <v>1021</v>
      </c>
      <c r="E47" s="1800"/>
      <c r="F47" s="1800"/>
      <c r="G47" s="1801"/>
      <c r="H47" s="1665" t="s">
        <v>1035</v>
      </c>
      <c r="I47" s="1624"/>
      <c r="J47" s="1624"/>
      <c r="K47" s="1624"/>
      <c r="L47" s="1624"/>
      <c r="M47" s="1624"/>
      <c r="N47" s="1624"/>
      <c r="O47" s="1624"/>
      <c r="P47" s="1362"/>
    </row>
    <row r="48" spans="2:16" ht="11.45" customHeight="1" x14ac:dyDescent="0.2">
      <c r="B48" s="115"/>
      <c r="C48" s="116"/>
      <c r="D48" s="56" t="s">
        <v>1098</v>
      </c>
      <c r="E48" s="56" t="s">
        <v>2102</v>
      </c>
      <c r="F48" s="56" t="s">
        <v>60</v>
      </c>
      <c r="G48" s="56" t="s">
        <v>3394</v>
      </c>
      <c r="H48" s="56" t="s">
        <v>1098</v>
      </c>
      <c r="I48" s="56" t="s">
        <v>2102</v>
      </c>
      <c r="J48" s="56" t="s">
        <v>1022</v>
      </c>
      <c r="K48" s="56" t="s">
        <v>1024</v>
      </c>
      <c r="L48" s="56" t="s">
        <v>1025</v>
      </c>
      <c r="M48" s="56" t="s">
        <v>1025</v>
      </c>
      <c r="N48" s="56" t="s">
        <v>1174</v>
      </c>
      <c r="O48" s="56" t="s">
        <v>1031</v>
      </c>
      <c r="P48" s="56" t="s">
        <v>1033</v>
      </c>
    </row>
    <row r="49" spans="2:19" ht="11.45" customHeight="1" x14ac:dyDescent="0.2">
      <c r="B49" s="64"/>
      <c r="C49" s="103"/>
      <c r="D49" s="106"/>
      <c r="E49" s="106"/>
      <c r="F49" s="106" t="s">
        <v>3393</v>
      </c>
      <c r="G49" s="106"/>
      <c r="H49" s="106"/>
      <c r="I49" s="106"/>
      <c r="J49" s="106" t="s">
        <v>1023</v>
      </c>
      <c r="K49" s="106" t="s">
        <v>1025</v>
      </c>
      <c r="L49" s="106" t="s">
        <v>1027</v>
      </c>
      <c r="M49" s="106" t="s">
        <v>1029</v>
      </c>
      <c r="N49" s="106" t="s">
        <v>1057</v>
      </c>
      <c r="O49" s="118" t="s">
        <v>165</v>
      </c>
      <c r="P49" s="106"/>
    </row>
    <row r="50" spans="2:19" ht="11.45" customHeight="1" x14ac:dyDescent="0.2">
      <c r="B50" s="77"/>
      <c r="C50" s="105"/>
      <c r="D50" s="11"/>
      <c r="E50" s="11"/>
      <c r="F50" s="11" t="s">
        <v>59</v>
      </c>
      <c r="G50" s="11"/>
      <c r="H50" s="11"/>
      <c r="I50" s="11"/>
      <c r="J50" s="119"/>
      <c r="K50" s="11" t="s">
        <v>1026</v>
      </c>
      <c r="L50" s="11" t="s">
        <v>1028</v>
      </c>
      <c r="M50" s="11" t="s">
        <v>1030</v>
      </c>
      <c r="N50" s="11" t="s">
        <v>1058</v>
      </c>
      <c r="O50" s="11" t="s">
        <v>1032</v>
      </c>
      <c r="P50" s="11"/>
    </row>
    <row r="51" spans="2:19" ht="11.45" customHeight="1" x14ac:dyDescent="0.2">
      <c r="B51" s="90" t="s">
        <v>481</v>
      </c>
      <c r="C51" s="745">
        <f>C29</f>
        <v>0</v>
      </c>
      <c r="D51" s="109" t="str">
        <f>O14</f>
        <v/>
      </c>
      <c r="E51" s="109" t="str">
        <f>O29</f>
        <v/>
      </c>
      <c r="F51" s="121">
        <v>1</v>
      </c>
      <c r="G51" s="109" t="str">
        <f>IF(D14=0,"",(D51-E51)*F51+E51)</f>
        <v/>
      </c>
      <c r="H51" s="109" t="str">
        <f>D51</f>
        <v/>
      </c>
      <c r="I51" s="109" t="str">
        <f t="shared" ref="I51:I58" si="13">E51</f>
        <v/>
      </c>
      <c r="J51" s="71">
        <f>GlassI!AC17+(GlassI!AE17/12)</f>
        <v>0</v>
      </c>
      <c r="K51" s="71">
        <f>GlassI!AG17+(GlassI!AI17/12)</f>
        <v>0</v>
      </c>
      <c r="L51" s="121">
        <f>GlassI!AE5+(GlassI!AG5/12)</f>
        <v>0</v>
      </c>
      <c r="M51" s="121">
        <f>GlassI!AA5+(GlassI!AC5/12)</f>
        <v>0</v>
      </c>
      <c r="N51" s="81"/>
      <c r="O51" s="121">
        <f>IF(GlassI!X17="Yes",VLOOKUP(C51,KW!$A$98:$D$105,4),0)</f>
        <v>0</v>
      </c>
      <c r="P51" s="109">
        <f>IF('Form N1'!$P$4&lt;0,0,'Wrk B'!S67)</f>
        <v>0</v>
      </c>
    </row>
    <row r="52" spans="2:19" ht="11.45" customHeight="1" x14ac:dyDescent="0.2">
      <c r="B52" s="90" t="s">
        <v>482</v>
      </c>
      <c r="C52" s="745">
        <f t="shared" ref="C52:C58" si="14">C30</f>
        <v>0</v>
      </c>
      <c r="D52" s="109" t="str">
        <f t="shared" ref="D52:D58" si="15">O15</f>
        <v/>
      </c>
      <c r="E52" s="109" t="str">
        <f t="shared" ref="E52:E58" si="16">O30</f>
        <v/>
      </c>
      <c r="F52" s="121">
        <v>1</v>
      </c>
      <c r="G52" s="109" t="str">
        <f t="shared" ref="G52:G58" si="17">IF(D15=0,"",(D52-E52)*F52+E52)</f>
        <v/>
      </c>
      <c r="H52" s="109" t="str">
        <f t="shared" ref="H52:H58" si="18">D52</f>
        <v/>
      </c>
      <c r="I52" s="109" t="str">
        <f t="shared" si="13"/>
        <v/>
      </c>
      <c r="J52" s="71">
        <f>GlassI!AC18+(GlassI!AE18/12)</f>
        <v>0</v>
      </c>
      <c r="K52" s="71">
        <f>GlassI!AG18+(GlassI!AI18/12)</f>
        <v>0</v>
      </c>
      <c r="L52" s="121">
        <f>GlassI!AE6+(GlassI!AG6/12)</f>
        <v>0</v>
      </c>
      <c r="M52" s="121">
        <f>GlassI!AA6+(GlassI!AC6/12)</f>
        <v>0</v>
      </c>
      <c r="N52" s="81"/>
      <c r="O52" s="121">
        <f>IF(GlassI!X18="Yes",VLOOKUP(C52,KW!$A$98:$D$105,4),0)</f>
        <v>0</v>
      </c>
      <c r="P52" s="109">
        <f>IF('Form N1'!$P$4&lt;0,0,'Wrk B'!S68)</f>
        <v>0</v>
      </c>
    </row>
    <row r="53" spans="2:19" ht="11.45" customHeight="1" x14ac:dyDescent="0.2">
      <c r="B53" s="90" t="s">
        <v>483</v>
      </c>
      <c r="C53" s="745">
        <f t="shared" si="14"/>
        <v>0</v>
      </c>
      <c r="D53" s="109" t="str">
        <f t="shared" si="15"/>
        <v/>
      </c>
      <c r="E53" s="109" t="str">
        <f t="shared" si="16"/>
        <v/>
      </c>
      <c r="F53" s="121">
        <v>1</v>
      </c>
      <c r="G53" s="109" t="str">
        <f t="shared" si="17"/>
        <v/>
      </c>
      <c r="H53" s="109" t="str">
        <f t="shared" si="18"/>
        <v/>
      </c>
      <c r="I53" s="109" t="str">
        <f t="shared" si="13"/>
        <v/>
      </c>
      <c r="J53" s="71">
        <f>GlassI!AC19+(GlassI!AE19/12)</f>
        <v>0</v>
      </c>
      <c r="K53" s="71">
        <f>GlassI!AG19+(GlassI!AI19/12)</f>
        <v>0</v>
      </c>
      <c r="L53" s="121">
        <f>GlassI!AE7+(GlassI!AG7/12)</f>
        <v>0</v>
      </c>
      <c r="M53" s="121">
        <f>GlassI!AA7+(GlassI!AC7/12)</f>
        <v>0</v>
      </c>
      <c r="N53" s="81"/>
      <c r="O53" s="121">
        <f>IF(GlassI!X19="Yes",VLOOKUP(C53,KW!$A$98:$D$105,4),0)</f>
        <v>0</v>
      </c>
      <c r="P53" s="109">
        <f>IF('Form N1'!$P$4&lt;0,0,'Wrk B'!S69)</f>
        <v>0</v>
      </c>
    </row>
    <row r="54" spans="2:19" ht="11.45" customHeight="1" x14ac:dyDescent="0.2">
      <c r="B54" s="90" t="s">
        <v>484</v>
      </c>
      <c r="C54" s="745">
        <f t="shared" si="14"/>
        <v>0</v>
      </c>
      <c r="D54" s="109" t="str">
        <f t="shared" si="15"/>
        <v/>
      </c>
      <c r="E54" s="109" t="str">
        <f t="shared" si="16"/>
        <v/>
      </c>
      <c r="F54" s="121">
        <v>1</v>
      </c>
      <c r="G54" s="109" t="str">
        <f t="shared" si="17"/>
        <v/>
      </c>
      <c r="H54" s="109" t="str">
        <f t="shared" si="18"/>
        <v/>
      </c>
      <c r="I54" s="109" t="str">
        <f t="shared" si="13"/>
        <v/>
      </c>
      <c r="J54" s="71">
        <f>GlassI!AC20+(GlassI!AE20/12)</f>
        <v>0</v>
      </c>
      <c r="K54" s="71">
        <f>GlassI!AG20+(GlassI!AI20/12)</f>
        <v>0</v>
      </c>
      <c r="L54" s="121">
        <f>GlassI!AE8+(GlassI!AG8/12)</f>
        <v>0</v>
      </c>
      <c r="M54" s="121">
        <f>GlassI!AA8+(GlassI!AC8/12)</f>
        <v>0</v>
      </c>
      <c r="N54" s="81"/>
      <c r="O54" s="121">
        <f>IF(GlassI!X20="Yes",VLOOKUP(C54,KW!$A$98:$D$105,4),0)</f>
        <v>0</v>
      </c>
      <c r="P54" s="109">
        <f>IF('Form N1'!$P$4&lt;0,0,'Wrk B'!S70)</f>
        <v>0</v>
      </c>
    </row>
    <row r="55" spans="2:19" ht="11.45" customHeight="1" x14ac:dyDescent="0.2">
      <c r="B55" s="90" t="s">
        <v>485</v>
      </c>
      <c r="C55" s="745">
        <f t="shared" si="14"/>
        <v>0</v>
      </c>
      <c r="D55" s="109" t="str">
        <f t="shared" si="15"/>
        <v/>
      </c>
      <c r="E55" s="109" t="str">
        <f t="shared" si="16"/>
        <v/>
      </c>
      <c r="F55" s="121">
        <v>1</v>
      </c>
      <c r="G55" s="109" t="str">
        <f t="shared" si="17"/>
        <v/>
      </c>
      <c r="H55" s="109" t="str">
        <f t="shared" si="18"/>
        <v/>
      </c>
      <c r="I55" s="109" t="str">
        <f t="shared" si="13"/>
        <v/>
      </c>
      <c r="J55" s="71">
        <f>GlassI!AC21+(GlassI!AE21/12)</f>
        <v>0</v>
      </c>
      <c r="K55" s="71">
        <f>GlassI!AG21+(GlassI!AI21/12)</f>
        <v>0</v>
      </c>
      <c r="L55" s="121">
        <f>GlassI!AE9+(GlassI!AG9/12)</f>
        <v>0</v>
      </c>
      <c r="M55" s="121">
        <f>GlassI!AA9+(GlassI!AC9/12)</f>
        <v>0</v>
      </c>
      <c r="N55" s="81"/>
      <c r="O55" s="121">
        <f>IF(GlassI!X21="Yes",VLOOKUP(C55,KW!$A$98:$D$105,4),0)</f>
        <v>0</v>
      </c>
      <c r="P55" s="109">
        <f>IF('Form N1'!$P$4&lt;0,0,'Wrk B'!S71)</f>
        <v>0</v>
      </c>
    </row>
    <row r="56" spans="2:19" ht="11.45" customHeight="1" x14ac:dyDescent="0.2">
      <c r="B56" s="90" t="s">
        <v>486</v>
      </c>
      <c r="C56" s="745">
        <f t="shared" si="14"/>
        <v>0</v>
      </c>
      <c r="D56" s="109" t="str">
        <f t="shared" si="15"/>
        <v/>
      </c>
      <c r="E56" s="109" t="str">
        <f t="shared" si="16"/>
        <v/>
      </c>
      <c r="F56" s="121">
        <v>1</v>
      </c>
      <c r="G56" s="109" t="str">
        <f t="shared" si="17"/>
        <v/>
      </c>
      <c r="H56" s="109" t="str">
        <f t="shared" si="18"/>
        <v/>
      </c>
      <c r="I56" s="109" t="str">
        <f t="shared" si="13"/>
        <v/>
      </c>
      <c r="J56" s="71">
        <f>GlassI!AC22+(GlassI!AE22/12)</f>
        <v>0</v>
      </c>
      <c r="K56" s="71">
        <f>GlassI!AG22+(GlassI!AI22/12)</f>
        <v>0</v>
      </c>
      <c r="L56" s="121">
        <f>GlassI!AE10+(GlassI!AG10/12)</f>
        <v>0</v>
      </c>
      <c r="M56" s="121">
        <f>GlassI!AA10+(GlassI!AC10/12)</f>
        <v>0</v>
      </c>
      <c r="N56" s="81"/>
      <c r="O56" s="121">
        <f>IF(GlassI!X22="Yes",VLOOKUP(C56,KW!$A$98:$D$105,4),0)</f>
        <v>0</v>
      </c>
      <c r="P56" s="109">
        <f>IF('Form N1'!$P$4&lt;0,0,'Wrk B'!S72)</f>
        <v>0</v>
      </c>
    </row>
    <row r="57" spans="2:19" ht="11.45" customHeight="1" x14ac:dyDescent="0.2">
      <c r="B57" s="90" t="s">
        <v>487</v>
      </c>
      <c r="C57" s="745">
        <f t="shared" si="14"/>
        <v>0</v>
      </c>
      <c r="D57" s="109" t="str">
        <f t="shared" si="15"/>
        <v/>
      </c>
      <c r="E57" s="109" t="str">
        <f t="shared" si="16"/>
        <v/>
      </c>
      <c r="F57" s="121">
        <v>1</v>
      </c>
      <c r="G57" s="109" t="str">
        <f t="shared" si="17"/>
        <v/>
      </c>
      <c r="H57" s="109" t="str">
        <f t="shared" si="18"/>
        <v/>
      </c>
      <c r="I57" s="109" t="str">
        <f t="shared" si="13"/>
        <v/>
      </c>
      <c r="J57" s="71">
        <f>GlassI!AC23+(GlassI!AE23/12)</f>
        <v>0</v>
      </c>
      <c r="K57" s="71">
        <f>GlassI!AG23+(GlassI!AI23/12)</f>
        <v>0</v>
      </c>
      <c r="L57" s="121">
        <f>GlassI!AE11+(GlassI!AG11/12)</f>
        <v>0</v>
      </c>
      <c r="M57" s="121">
        <f>GlassI!AA11+(GlassI!AC11/12)</f>
        <v>0</v>
      </c>
      <c r="N57" s="81"/>
      <c r="O57" s="121">
        <f>IF(GlassI!X23="Yes",VLOOKUP(C57,KW!$A$98:$D$105,4),0)</f>
        <v>0</v>
      </c>
      <c r="P57" s="109">
        <f>IF('Form N1'!$P$4&lt;0,0,'Wrk B'!S73)</f>
        <v>0</v>
      </c>
    </row>
    <row r="58" spans="2:19" ht="11.45" customHeight="1" x14ac:dyDescent="0.2">
      <c r="B58" s="90" t="s">
        <v>488</v>
      </c>
      <c r="C58" s="745">
        <f t="shared" si="14"/>
        <v>0</v>
      </c>
      <c r="D58" s="109" t="str">
        <f t="shared" si="15"/>
        <v/>
      </c>
      <c r="E58" s="109" t="str">
        <f t="shared" si="16"/>
        <v/>
      </c>
      <c r="F58" s="121">
        <v>1</v>
      </c>
      <c r="G58" s="109" t="str">
        <f t="shared" si="17"/>
        <v/>
      </c>
      <c r="H58" s="109" t="str">
        <f t="shared" si="18"/>
        <v/>
      </c>
      <c r="I58" s="109" t="str">
        <f t="shared" si="13"/>
        <v/>
      </c>
      <c r="J58" s="71">
        <f>GlassI!AC24+(GlassI!AE24/12)</f>
        <v>0</v>
      </c>
      <c r="K58" s="71">
        <f>GlassI!AG24+(GlassI!AI24/12)</f>
        <v>0</v>
      </c>
      <c r="L58" s="121">
        <f>GlassI!AE12+(GlassI!AG12/12)</f>
        <v>0</v>
      </c>
      <c r="M58" s="121">
        <f>GlassI!AA12+(GlassI!AC12/12)</f>
        <v>0</v>
      </c>
      <c r="N58" s="81"/>
      <c r="O58" s="121">
        <f>IF(GlassI!X24="Yes",VLOOKUP(C58,KW!$A$98:$D$105,4),0)</f>
        <v>0</v>
      </c>
      <c r="P58" s="109">
        <f>IF('Form N1'!$P$4&lt;0,0,'Wrk B'!S74)</f>
        <v>0</v>
      </c>
    </row>
    <row r="59" spans="2:19" ht="8.1" customHeight="1" x14ac:dyDescent="0.2">
      <c r="B59" s="76"/>
      <c r="C59" s="113"/>
      <c r="D59" s="125"/>
      <c r="E59" s="125"/>
      <c r="F59" s="125"/>
      <c r="G59" s="125"/>
      <c r="H59" s="125"/>
      <c r="I59" s="125"/>
      <c r="J59" s="126"/>
      <c r="K59" s="126"/>
      <c r="L59" s="113"/>
      <c r="M59" s="113"/>
      <c r="N59" s="113"/>
      <c r="O59" s="113"/>
      <c r="P59" s="127"/>
    </row>
    <row r="60" spans="2:19" ht="11.45" customHeight="1" x14ac:dyDescent="0.2">
      <c r="B60" s="114" t="s">
        <v>451</v>
      </c>
      <c r="C60" s="104"/>
      <c r="D60" s="104"/>
      <c r="E60" s="104"/>
      <c r="F60" s="104"/>
      <c r="G60" s="104"/>
      <c r="H60" s="104"/>
      <c r="I60" s="104"/>
      <c r="J60" s="124"/>
      <c r="K60" s="104"/>
      <c r="L60" s="104"/>
      <c r="M60" s="104"/>
      <c r="N60" s="104"/>
      <c r="O60" s="104"/>
      <c r="P60" s="105"/>
    </row>
    <row r="61" spans="2:19" ht="11.45" customHeight="1" x14ac:dyDescent="0.2">
      <c r="B61" s="59"/>
    </row>
    <row r="62" spans="2:19" ht="11.45" customHeight="1" x14ac:dyDescent="0.2">
      <c r="B62" s="59"/>
    </row>
    <row r="63" spans="2:19" ht="11.45" customHeight="1" x14ac:dyDescent="0.2">
      <c r="B63" s="1794" t="s">
        <v>1056</v>
      </c>
      <c r="C63" s="1616"/>
      <c r="D63" s="1616"/>
      <c r="E63" s="1616"/>
      <c r="F63" s="1616"/>
      <c r="G63" s="1616"/>
      <c r="H63" s="1616"/>
      <c r="I63" s="1616"/>
      <c r="J63" s="1616"/>
      <c r="K63" s="1616"/>
      <c r="L63" s="1616"/>
      <c r="M63" s="1616"/>
      <c r="N63" s="1616"/>
      <c r="O63" s="1616"/>
      <c r="P63" s="1616"/>
      <c r="Q63" s="1616"/>
      <c r="R63" s="1616"/>
      <c r="S63" s="1360"/>
    </row>
    <row r="64" spans="2:19" ht="11.45" customHeight="1" x14ac:dyDescent="0.2">
      <c r="B64" s="123"/>
      <c r="C64" s="104"/>
      <c r="D64" s="104"/>
      <c r="E64" s="104"/>
      <c r="F64" s="104"/>
      <c r="G64" s="104"/>
      <c r="H64" s="104"/>
      <c r="I64" s="104"/>
      <c r="J64" s="104"/>
      <c r="K64" s="104"/>
      <c r="L64" s="104"/>
      <c r="M64" s="104"/>
      <c r="N64" s="104"/>
      <c r="O64" s="104"/>
      <c r="P64" s="124"/>
      <c r="Q64" s="124"/>
      <c r="R64" s="124"/>
      <c r="S64" s="117"/>
    </row>
    <row r="65" spans="2:20" ht="11.45" customHeight="1" x14ac:dyDescent="0.2">
      <c r="B65" s="448" t="s">
        <v>974</v>
      </c>
      <c r="C65" s="56" t="s">
        <v>1174</v>
      </c>
      <c r="D65" s="56" t="s">
        <v>1178</v>
      </c>
      <c r="E65" s="56" t="s">
        <v>1031</v>
      </c>
      <c r="F65" s="56" t="s">
        <v>1044</v>
      </c>
      <c r="G65" s="56" t="s">
        <v>1043</v>
      </c>
      <c r="H65" s="56" t="s">
        <v>1045</v>
      </c>
      <c r="I65" s="56" t="s">
        <v>1042</v>
      </c>
      <c r="J65" s="56" t="s">
        <v>1046</v>
      </c>
      <c r="K65" s="56" t="s">
        <v>1042</v>
      </c>
      <c r="L65" s="56" t="s">
        <v>1040</v>
      </c>
      <c r="M65" s="56" t="s">
        <v>1041</v>
      </c>
      <c r="N65" s="143" t="s">
        <v>1098</v>
      </c>
      <c r="O65" s="56" t="s">
        <v>2102</v>
      </c>
      <c r="P65" s="56" t="s">
        <v>1052</v>
      </c>
      <c r="Q65" s="56" t="s">
        <v>1054</v>
      </c>
      <c r="R65" s="56" t="s">
        <v>1055</v>
      </c>
      <c r="S65" s="56" t="s">
        <v>1033</v>
      </c>
      <c r="T65" s="54"/>
    </row>
    <row r="66" spans="2:20" ht="11.45" customHeight="1" x14ac:dyDescent="0.2">
      <c r="B66" s="447"/>
      <c r="C66" s="446"/>
      <c r="D66" s="11" t="s">
        <v>1050</v>
      </c>
      <c r="E66" s="11"/>
      <c r="F66" s="11" t="s">
        <v>1047</v>
      </c>
      <c r="G66" s="11" t="s">
        <v>1051</v>
      </c>
      <c r="H66" s="11" t="s">
        <v>1036</v>
      </c>
      <c r="I66" s="11" t="s">
        <v>1048</v>
      </c>
      <c r="J66" s="11" t="s">
        <v>1037</v>
      </c>
      <c r="K66" s="11" t="s">
        <v>1049</v>
      </c>
      <c r="L66" s="11" t="s">
        <v>1038</v>
      </c>
      <c r="M66" s="11" t="s">
        <v>1039</v>
      </c>
      <c r="N66" s="15" t="s">
        <v>3615</v>
      </c>
      <c r="O66" s="119"/>
      <c r="P66" s="11" t="s">
        <v>1053</v>
      </c>
      <c r="Q66" s="11" t="s">
        <v>1053</v>
      </c>
      <c r="R66" s="11" t="s">
        <v>1053</v>
      </c>
      <c r="S66" s="119"/>
      <c r="T66" s="54"/>
    </row>
    <row r="67" spans="2:20" ht="11.45" customHeight="1" x14ac:dyDescent="0.2">
      <c r="B67" s="449" t="s">
        <v>481</v>
      </c>
      <c r="C67" s="450">
        <f>F14</f>
        <v>0</v>
      </c>
      <c r="D67" s="128">
        <f>J51</f>
        <v>0</v>
      </c>
      <c r="E67" s="128">
        <f>IF(C67=0,1,VLOOKUP(C67,KW!$A$98:$D$105,4,TRUE))</f>
        <v>1</v>
      </c>
      <c r="F67" s="109">
        <f>D67*E67</f>
        <v>0</v>
      </c>
      <c r="G67" s="128">
        <f>K51</f>
        <v>0</v>
      </c>
      <c r="H67" s="128">
        <f>IF((F67-G67)&lt;0,0,IF((F67-G67)&gt;L51,L51,(F67-G67)))</f>
        <v>0</v>
      </c>
      <c r="I67" s="128">
        <f>L51</f>
        <v>0</v>
      </c>
      <c r="J67" s="109">
        <f>I67-H67</f>
        <v>0</v>
      </c>
      <c r="K67" s="128">
        <f>M51</f>
        <v>0</v>
      </c>
      <c r="L67" s="109">
        <f>H67*K67</f>
        <v>0</v>
      </c>
      <c r="M67" s="109">
        <f>J67*K67</f>
        <v>0</v>
      </c>
      <c r="N67" s="128" t="str">
        <f>IF(P14=1,G51,O14)</f>
        <v/>
      </c>
      <c r="O67" s="109" t="str">
        <f>I51</f>
        <v/>
      </c>
      <c r="P67" s="122" t="e">
        <f>O67*L67</f>
        <v>#VALUE!</v>
      </c>
      <c r="Q67" s="122" t="e">
        <f>N67*M67</f>
        <v>#VALUE!</v>
      </c>
      <c r="R67" s="122" t="e">
        <f>P67+Q67</f>
        <v>#VALUE!</v>
      </c>
      <c r="S67" s="109">
        <f>IF((L67+M67)&gt;0,R67/(L67+M67),0)</f>
        <v>0</v>
      </c>
    </row>
    <row r="68" spans="2:20" ht="11.45" customHeight="1" x14ac:dyDescent="0.2">
      <c r="B68" s="449" t="s">
        <v>482</v>
      </c>
      <c r="C68" s="450">
        <f t="shared" ref="C68:C74" si="19">F15</f>
        <v>0</v>
      </c>
      <c r="D68" s="128">
        <f t="shared" ref="D68:D74" si="20">J52</f>
        <v>0</v>
      </c>
      <c r="E68" s="128">
        <f>IF(C68=0,1,VLOOKUP(C68,KW!$A$98:$D$105,4,TRUE))</f>
        <v>1</v>
      </c>
      <c r="F68" s="109">
        <f t="shared" ref="F68:F74" si="21">D68*E68</f>
        <v>0</v>
      </c>
      <c r="G68" s="128">
        <f t="shared" ref="G68:G74" si="22">K52</f>
        <v>0</v>
      </c>
      <c r="H68" s="128">
        <f t="shared" ref="H68:H74" si="23">IF((F68-G68)&lt;0,0,IF((F68-G68)&gt;L52,L52,(F68-G68)))</f>
        <v>0</v>
      </c>
      <c r="I68" s="128">
        <f t="shared" ref="I68:I74" si="24">L52</f>
        <v>0</v>
      </c>
      <c r="J68" s="109">
        <f t="shared" ref="J68:J74" si="25">I68-H68</f>
        <v>0</v>
      </c>
      <c r="K68" s="128">
        <f t="shared" ref="K68:K74" si="26">M52</f>
        <v>0</v>
      </c>
      <c r="L68" s="109">
        <f t="shared" ref="L68:L74" si="27">H68*K68</f>
        <v>0</v>
      </c>
      <c r="M68" s="109">
        <f t="shared" ref="M68:M74" si="28">J68*K68</f>
        <v>0</v>
      </c>
      <c r="N68" s="128" t="str">
        <f t="shared" ref="N68:N74" si="29">IF(P15=1,G52,O15)</f>
        <v/>
      </c>
      <c r="O68" s="109" t="str">
        <f t="shared" ref="O68:O74" si="30">I52</f>
        <v/>
      </c>
      <c r="P68" s="122" t="e">
        <f t="shared" ref="P68:P74" si="31">O68*L68</f>
        <v>#VALUE!</v>
      </c>
      <c r="Q68" s="122" t="e">
        <f t="shared" ref="Q68:Q74" si="32">N68*M68</f>
        <v>#VALUE!</v>
      </c>
      <c r="R68" s="122" t="e">
        <f t="shared" ref="R68:R74" si="33">P68+Q68</f>
        <v>#VALUE!</v>
      </c>
      <c r="S68" s="109">
        <f t="shared" ref="S68:S74" si="34">IF((L68+M68)&gt;0,R68/(L68+M68),0)</f>
        <v>0</v>
      </c>
    </row>
    <row r="69" spans="2:20" ht="11.45" customHeight="1" x14ac:dyDescent="0.2">
      <c r="B69" s="449" t="s">
        <v>483</v>
      </c>
      <c r="C69" s="450">
        <f t="shared" si="19"/>
        <v>0</v>
      </c>
      <c r="D69" s="128">
        <f t="shared" si="20"/>
        <v>0</v>
      </c>
      <c r="E69" s="128">
        <f>IF(C69=0,1,VLOOKUP(C69,KW!$A$98:$D$105,4,TRUE))</f>
        <v>1</v>
      </c>
      <c r="F69" s="109">
        <f t="shared" si="21"/>
        <v>0</v>
      </c>
      <c r="G69" s="128">
        <f t="shared" si="22"/>
        <v>0</v>
      </c>
      <c r="H69" s="128">
        <f t="shared" si="23"/>
        <v>0</v>
      </c>
      <c r="I69" s="128">
        <f t="shared" si="24"/>
        <v>0</v>
      </c>
      <c r="J69" s="109">
        <f t="shared" si="25"/>
        <v>0</v>
      </c>
      <c r="K69" s="128">
        <f t="shared" si="26"/>
        <v>0</v>
      </c>
      <c r="L69" s="109">
        <f t="shared" si="27"/>
        <v>0</v>
      </c>
      <c r="M69" s="109">
        <f t="shared" si="28"/>
        <v>0</v>
      </c>
      <c r="N69" s="128" t="str">
        <f t="shared" si="29"/>
        <v/>
      </c>
      <c r="O69" s="109" t="str">
        <f t="shared" si="30"/>
        <v/>
      </c>
      <c r="P69" s="122" t="e">
        <f t="shared" si="31"/>
        <v>#VALUE!</v>
      </c>
      <c r="Q69" s="122" t="e">
        <f t="shared" si="32"/>
        <v>#VALUE!</v>
      </c>
      <c r="R69" s="122" t="e">
        <f t="shared" si="33"/>
        <v>#VALUE!</v>
      </c>
      <c r="S69" s="109">
        <f t="shared" si="34"/>
        <v>0</v>
      </c>
    </row>
    <row r="70" spans="2:20" ht="11.45" customHeight="1" x14ac:dyDescent="0.2">
      <c r="B70" s="449" t="s">
        <v>484</v>
      </c>
      <c r="C70" s="450">
        <f t="shared" si="19"/>
        <v>0</v>
      </c>
      <c r="D70" s="128">
        <f t="shared" si="20"/>
        <v>0</v>
      </c>
      <c r="E70" s="128">
        <f>IF(C70=0,1,VLOOKUP(C70,KW!$A$98:$D$105,4,TRUE))</f>
        <v>1</v>
      </c>
      <c r="F70" s="109">
        <f t="shared" si="21"/>
        <v>0</v>
      </c>
      <c r="G70" s="128">
        <f t="shared" si="22"/>
        <v>0</v>
      </c>
      <c r="H70" s="128">
        <f t="shared" si="23"/>
        <v>0</v>
      </c>
      <c r="I70" s="128">
        <f t="shared" si="24"/>
        <v>0</v>
      </c>
      <c r="J70" s="109">
        <f t="shared" si="25"/>
        <v>0</v>
      </c>
      <c r="K70" s="128">
        <f t="shared" si="26"/>
        <v>0</v>
      </c>
      <c r="L70" s="109">
        <f t="shared" si="27"/>
        <v>0</v>
      </c>
      <c r="M70" s="109">
        <f t="shared" si="28"/>
        <v>0</v>
      </c>
      <c r="N70" s="128" t="str">
        <f t="shared" si="29"/>
        <v/>
      </c>
      <c r="O70" s="109" t="str">
        <f t="shared" si="30"/>
        <v/>
      </c>
      <c r="P70" s="122" t="e">
        <f t="shared" si="31"/>
        <v>#VALUE!</v>
      </c>
      <c r="Q70" s="122" t="e">
        <f t="shared" si="32"/>
        <v>#VALUE!</v>
      </c>
      <c r="R70" s="122" t="e">
        <f t="shared" si="33"/>
        <v>#VALUE!</v>
      </c>
      <c r="S70" s="109">
        <f t="shared" si="34"/>
        <v>0</v>
      </c>
    </row>
    <row r="71" spans="2:20" ht="11.45" customHeight="1" x14ac:dyDescent="0.2">
      <c r="B71" s="449" t="s">
        <v>485</v>
      </c>
      <c r="C71" s="450">
        <f t="shared" si="19"/>
        <v>0</v>
      </c>
      <c r="D71" s="128">
        <f t="shared" si="20"/>
        <v>0</v>
      </c>
      <c r="E71" s="128">
        <f>IF(C71=0,1,VLOOKUP(C71,KW!$A$98:$D$105,4,TRUE))</f>
        <v>1</v>
      </c>
      <c r="F71" s="109">
        <f t="shared" si="21"/>
        <v>0</v>
      </c>
      <c r="G71" s="128">
        <f t="shared" si="22"/>
        <v>0</v>
      </c>
      <c r="H71" s="128">
        <f t="shared" si="23"/>
        <v>0</v>
      </c>
      <c r="I71" s="128">
        <f t="shared" si="24"/>
        <v>0</v>
      </c>
      <c r="J71" s="109">
        <f t="shared" si="25"/>
        <v>0</v>
      </c>
      <c r="K71" s="128">
        <f t="shared" si="26"/>
        <v>0</v>
      </c>
      <c r="L71" s="109">
        <f t="shared" si="27"/>
        <v>0</v>
      </c>
      <c r="M71" s="109">
        <f t="shared" si="28"/>
        <v>0</v>
      </c>
      <c r="N71" s="128" t="str">
        <f t="shared" si="29"/>
        <v/>
      </c>
      <c r="O71" s="109" t="str">
        <f t="shared" si="30"/>
        <v/>
      </c>
      <c r="P71" s="122" t="e">
        <f t="shared" si="31"/>
        <v>#VALUE!</v>
      </c>
      <c r="Q71" s="122" t="e">
        <f t="shared" si="32"/>
        <v>#VALUE!</v>
      </c>
      <c r="R71" s="122" t="e">
        <f t="shared" si="33"/>
        <v>#VALUE!</v>
      </c>
      <c r="S71" s="109">
        <f t="shared" si="34"/>
        <v>0</v>
      </c>
    </row>
    <row r="72" spans="2:20" ht="11.45" customHeight="1" x14ac:dyDescent="0.2">
      <c r="B72" s="449" t="s">
        <v>486</v>
      </c>
      <c r="C72" s="450">
        <f t="shared" si="19"/>
        <v>0</v>
      </c>
      <c r="D72" s="128">
        <f t="shared" si="20"/>
        <v>0</v>
      </c>
      <c r="E72" s="128">
        <f>IF(C72=0,1,VLOOKUP(C72,KW!$A$98:$D$105,4,TRUE))</f>
        <v>1</v>
      </c>
      <c r="F72" s="109">
        <f t="shared" si="21"/>
        <v>0</v>
      </c>
      <c r="G72" s="128">
        <f t="shared" si="22"/>
        <v>0</v>
      </c>
      <c r="H72" s="128">
        <f t="shared" si="23"/>
        <v>0</v>
      </c>
      <c r="I72" s="128">
        <f t="shared" si="24"/>
        <v>0</v>
      </c>
      <c r="J72" s="109">
        <f t="shared" si="25"/>
        <v>0</v>
      </c>
      <c r="K72" s="128">
        <f t="shared" si="26"/>
        <v>0</v>
      </c>
      <c r="L72" s="109">
        <f t="shared" si="27"/>
        <v>0</v>
      </c>
      <c r="M72" s="109">
        <f t="shared" si="28"/>
        <v>0</v>
      </c>
      <c r="N72" s="128" t="str">
        <f t="shared" si="29"/>
        <v/>
      </c>
      <c r="O72" s="109" t="str">
        <f t="shared" si="30"/>
        <v/>
      </c>
      <c r="P72" s="122" t="e">
        <f t="shared" si="31"/>
        <v>#VALUE!</v>
      </c>
      <c r="Q72" s="122" t="e">
        <f t="shared" si="32"/>
        <v>#VALUE!</v>
      </c>
      <c r="R72" s="122" t="e">
        <f t="shared" si="33"/>
        <v>#VALUE!</v>
      </c>
      <c r="S72" s="109">
        <f t="shared" si="34"/>
        <v>0</v>
      </c>
    </row>
    <row r="73" spans="2:20" ht="11.45" customHeight="1" x14ac:dyDescent="0.2">
      <c r="B73" s="449" t="s">
        <v>487</v>
      </c>
      <c r="C73" s="450">
        <f t="shared" si="19"/>
        <v>0</v>
      </c>
      <c r="D73" s="128">
        <f t="shared" si="20"/>
        <v>0</v>
      </c>
      <c r="E73" s="128">
        <f>IF(C73=0,1,VLOOKUP(C73,KW!$A$98:$D$105,4,TRUE))</f>
        <v>1</v>
      </c>
      <c r="F73" s="109">
        <f t="shared" si="21"/>
        <v>0</v>
      </c>
      <c r="G73" s="128">
        <f t="shared" si="22"/>
        <v>0</v>
      </c>
      <c r="H73" s="128">
        <f t="shared" si="23"/>
        <v>0</v>
      </c>
      <c r="I73" s="128">
        <f t="shared" si="24"/>
        <v>0</v>
      </c>
      <c r="J73" s="109">
        <f t="shared" si="25"/>
        <v>0</v>
      </c>
      <c r="K73" s="128">
        <f t="shared" si="26"/>
        <v>0</v>
      </c>
      <c r="L73" s="109">
        <f t="shared" si="27"/>
        <v>0</v>
      </c>
      <c r="M73" s="109">
        <f t="shared" si="28"/>
        <v>0</v>
      </c>
      <c r="N73" s="128" t="str">
        <f t="shared" si="29"/>
        <v/>
      </c>
      <c r="O73" s="109" t="str">
        <f t="shared" si="30"/>
        <v/>
      </c>
      <c r="P73" s="122" t="e">
        <f t="shared" si="31"/>
        <v>#VALUE!</v>
      </c>
      <c r="Q73" s="122" t="e">
        <f t="shared" si="32"/>
        <v>#VALUE!</v>
      </c>
      <c r="R73" s="122" t="e">
        <f t="shared" si="33"/>
        <v>#VALUE!</v>
      </c>
      <c r="S73" s="109">
        <f t="shared" si="34"/>
        <v>0</v>
      </c>
    </row>
    <row r="74" spans="2:20" ht="11.45" customHeight="1" x14ac:dyDescent="0.2">
      <c r="B74" s="449" t="s">
        <v>488</v>
      </c>
      <c r="C74" s="450">
        <f t="shared" si="19"/>
        <v>0</v>
      </c>
      <c r="D74" s="128">
        <f t="shared" si="20"/>
        <v>0</v>
      </c>
      <c r="E74" s="128">
        <f>IF(C74=0,1,VLOOKUP(C74,KW!$A$98:$D$105,4,TRUE))</f>
        <v>1</v>
      </c>
      <c r="F74" s="109">
        <f t="shared" si="21"/>
        <v>0</v>
      </c>
      <c r="G74" s="128">
        <f t="shared" si="22"/>
        <v>0</v>
      </c>
      <c r="H74" s="128">
        <f t="shared" si="23"/>
        <v>0</v>
      </c>
      <c r="I74" s="128">
        <f t="shared" si="24"/>
        <v>0</v>
      </c>
      <c r="J74" s="109">
        <f t="shared" si="25"/>
        <v>0</v>
      </c>
      <c r="K74" s="128">
        <f t="shared" si="26"/>
        <v>0</v>
      </c>
      <c r="L74" s="109">
        <f t="shared" si="27"/>
        <v>0</v>
      </c>
      <c r="M74" s="109">
        <f t="shared" si="28"/>
        <v>0</v>
      </c>
      <c r="N74" s="128" t="str">
        <f t="shared" si="29"/>
        <v/>
      </c>
      <c r="O74" s="109" t="str">
        <f t="shared" si="30"/>
        <v/>
      </c>
      <c r="P74" s="122" t="e">
        <f t="shared" si="31"/>
        <v>#VALUE!</v>
      </c>
      <c r="Q74" s="122" t="e">
        <f t="shared" si="32"/>
        <v>#VALUE!</v>
      </c>
      <c r="R74" s="122" t="e">
        <f t="shared" si="33"/>
        <v>#VALUE!</v>
      </c>
      <c r="S74" s="109">
        <f t="shared" si="34"/>
        <v>0</v>
      </c>
    </row>
    <row r="75" spans="2:20" ht="8.1" customHeight="1" x14ac:dyDescent="0.2">
      <c r="B75" s="130"/>
      <c r="C75" s="131"/>
      <c r="D75" s="132"/>
      <c r="E75" s="132"/>
      <c r="F75" s="113"/>
      <c r="G75" s="132"/>
      <c r="H75" s="133"/>
      <c r="I75" s="132"/>
      <c r="J75" s="133"/>
      <c r="K75" s="132"/>
      <c r="L75" s="113"/>
      <c r="M75" s="133"/>
      <c r="N75" s="134"/>
      <c r="O75" s="133"/>
      <c r="P75" s="135"/>
      <c r="Q75" s="135"/>
      <c r="R75" s="135"/>
      <c r="S75" s="136"/>
    </row>
    <row r="76" spans="2:20" ht="11.45" customHeight="1" x14ac:dyDescent="0.2">
      <c r="B76" s="305" t="s">
        <v>3616</v>
      </c>
      <c r="C76" s="124"/>
      <c r="D76" s="104"/>
      <c r="E76" s="104"/>
      <c r="F76" s="104"/>
      <c r="G76" s="104"/>
      <c r="H76" s="104"/>
      <c r="I76" s="104"/>
      <c r="J76" s="104"/>
      <c r="K76" s="104"/>
      <c r="L76" s="124"/>
      <c r="M76" s="124"/>
      <c r="N76" s="124"/>
      <c r="O76" s="124"/>
      <c r="P76" s="124"/>
      <c r="Q76" s="124"/>
      <c r="R76" s="124"/>
      <c r="S76" s="117"/>
    </row>
    <row r="77" spans="2:20" ht="11.45" customHeight="1" x14ac:dyDescent="0.2">
      <c r="B77" s="55"/>
      <c r="C77" s="55"/>
      <c r="L77" s="55"/>
      <c r="M77" s="55"/>
      <c r="N77" s="55"/>
      <c r="O77" s="55"/>
      <c r="P77" s="55"/>
    </row>
    <row r="78" spans="2:20" ht="11.45" customHeight="1" x14ac:dyDescent="0.2">
      <c r="B78" s="55"/>
      <c r="C78" s="55"/>
      <c r="L78" s="55"/>
      <c r="M78" s="55"/>
      <c r="N78" s="55"/>
      <c r="O78" s="55"/>
      <c r="P78" s="55"/>
    </row>
    <row r="79" spans="2:20" ht="11.45" customHeight="1" x14ac:dyDescent="0.2">
      <c r="B79" s="55"/>
      <c r="C79" s="55"/>
      <c r="L79" s="55"/>
      <c r="M79" s="55"/>
      <c r="N79" s="55"/>
      <c r="O79" s="55"/>
      <c r="P79" s="55"/>
    </row>
    <row r="80" spans="2:20" ht="11.45" customHeight="1" x14ac:dyDescent="0.2">
      <c r="B80" s="55"/>
      <c r="C80" s="55"/>
      <c r="L80" s="55"/>
      <c r="M80" s="55"/>
      <c r="N80" s="55"/>
      <c r="O80" s="55"/>
      <c r="P80" s="55"/>
    </row>
    <row r="81" spans="2:16" ht="11.45" customHeight="1" x14ac:dyDescent="0.2">
      <c r="B81" s="55"/>
      <c r="C81" s="55"/>
      <c r="L81" s="55"/>
      <c r="M81" s="55"/>
      <c r="N81" s="55"/>
      <c r="O81" s="55"/>
      <c r="P81" s="55"/>
    </row>
    <row r="82" spans="2:16" ht="11.45" customHeight="1" x14ac:dyDescent="0.2">
      <c r="B82" s="55"/>
      <c r="C82" s="55"/>
      <c r="L82" s="55"/>
      <c r="M82" s="55"/>
      <c r="N82" s="55"/>
      <c r="O82" s="55"/>
      <c r="P82" s="55"/>
    </row>
    <row r="83" spans="2:16" ht="11.45" customHeight="1" x14ac:dyDescent="0.2">
      <c r="B83" s="55"/>
      <c r="C83" s="55"/>
      <c r="L83" s="55"/>
      <c r="M83" s="55"/>
      <c r="N83" s="55"/>
      <c r="O83" s="55"/>
      <c r="P83" s="55"/>
    </row>
    <row r="84" spans="2:16" ht="11.45" customHeight="1" x14ac:dyDescent="0.2">
      <c r="B84" s="55"/>
      <c r="C84" s="55"/>
      <c r="P84" s="55"/>
    </row>
  </sheetData>
  <mergeCells count="23">
    <mergeCell ref="B63:S63"/>
    <mergeCell ref="B37:F37"/>
    <mergeCell ref="B44:P44"/>
    <mergeCell ref="B46:C47"/>
    <mergeCell ref="D46:G46"/>
    <mergeCell ref="D47:G47"/>
    <mergeCell ref="H46:P46"/>
    <mergeCell ref="H47:P47"/>
    <mergeCell ref="B23:P23"/>
    <mergeCell ref="B24:P24"/>
    <mergeCell ref="B25:P25"/>
    <mergeCell ref="B26:C28"/>
    <mergeCell ref="D26:E36"/>
    <mergeCell ref="F29:F36"/>
    <mergeCell ref="B2:P3"/>
    <mergeCell ref="B5:P5"/>
    <mergeCell ref="B6:P6"/>
    <mergeCell ref="B7:P7"/>
    <mergeCell ref="B11:C13"/>
    <mergeCell ref="B9:C9"/>
    <mergeCell ref="B10:C10"/>
    <mergeCell ref="I10:K10"/>
    <mergeCell ref="I9:N9"/>
  </mergeCells>
  <phoneticPr fontId="2" type="noConversion"/>
  <pageMargins left="0.75" right="0.75" top="1" bottom="1" header="0.5" footer="0.5"/>
  <pageSetup orientation="portrait" r:id="rId1"/>
  <headerFooter alignWithMargins="0"/>
  <cellWatches>
    <cellWatch r="I51"/>
    <cellWatch r="B67"/>
  </cellWatche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4">
    <tabColor indexed="15"/>
  </sheetPr>
  <dimension ref="B1:BP11"/>
  <sheetViews>
    <sheetView showRowColHeaders="0" workbookViewId="0">
      <selection activeCell="C6" sqref="C6:U6"/>
    </sheetView>
  </sheetViews>
  <sheetFormatPr defaultColWidth="2.7109375" defaultRowHeight="12.95" customHeight="1" x14ac:dyDescent="0.2"/>
  <cols>
    <col min="1" max="40" width="2.7109375" style="1045" customWidth="1"/>
    <col min="41" max="68" width="2.7109375" style="1045" hidden="1" customWidth="1"/>
    <col min="69" max="16384" width="2.7109375" style="1045"/>
  </cols>
  <sheetData>
    <row r="1" spans="2:68" ht="12.95" customHeight="1" thickBot="1" x14ac:dyDescent="0.25"/>
    <row r="2" spans="2:68" s="1016" customFormat="1" ht="12.95" customHeight="1" thickBot="1" x14ac:dyDescent="0.25">
      <c r="C2" s="1533" t="s">
        <v>434</v>
      </c>
      <c r="D2" s="1534"/>
      <c r="E2" s="1534"/>
      <c r="F2" s="1534"/>
      <c r="G2" s="1534"/>
      <c r="H2" s="1534"/>
      <c r="I2" s="1534"/>
      <c r="J2" s="1534"/>
      <c r="K2" s="1534"/>
      <c r="L2" s="1534"/>
      <c r="M2" s="1534"/>
      <c r="N2" s="1534"/>
      <c r="O2" s="1534"/>
      <c r="P2" s="1534"/>
      <c r="Q2" s="1534"/>
      <c r="R2" s="1534"/>
      <c r="S2" s="1534"/>
      <c r="T2" s="1534"/>
      <c r="U2" s="1534"/>
      <c r="V2" s="1534"/>
      <c r="W2" s="1534"/>
      <c r="X2" s="1534"/>
      <c r="Y2" s="1534"/>
      <c r="Z2" s="1534"/>
      <c r="AA2" s="1534"/>
      <c r="AB2" s="1534"/>
      <c r="AC2" s="1534"/>
      <c r="AD2" s="1534"/>
      <c r="AE2" s="1534"/>
      <c r="AF2" s="1534"/>
      <c r="AG2" s="1534"/>
      <c r="AH2" s="1534"/>
      <c r="AI2" s="1534"/>
      <c r="AJ2" s="1534"/>
      <c r="AK2" s="1534"/>
      <c r="AL2" s="1534"/>
      <c r="AM2" s="1305"/>
    </row>
    <row r="3" spans="2:68" s="1016" customFormat="1" ht="12.95" customHeight="1" x14ac:dyDescent="0.2">
      <c r="C3" s="1739" t="s">
        <v>2507</v>
      </c>
      <c r="D3" s="1732"/>
      <c r="E3" s="1732"/>
      <c r="F3" s="1732"/>
      <c r="G3" s="1732"/>
      <c r="H3" s="1732"/>
      <c r="I3" s="1732"/>
      <c r="J3" s="1732"/>
      <c r="K3" s="1732"/>
      <c r="L3" s="1732"/>
      <c r="M3" s="1732"/>
      <c r="N3" s="1732"/>
      <c r="O3" s="1732"/>
      <c r="P3" s="1732"/>
      <c r="Q3" s="1732"/>
      <c r="R3" s="1732"/>
      <c r="S3" s="1732"/>
      <c r="T3" s="1732"/>
      <c r="U3" s="1733"/>
      <c r="V3" s="1725" t="s">
        <v>3618</v>
      </c>
      <c r="W3" s="1726"/>
      <c r="X3" s="1727"/>
      <c r="Y3" s="1836" t="s">
        <v>912</v>
      </c>
      <c r="Z3" s="1837"/>
      <c r="AA3" s="1837"/>
      <c r="AB3" s="1837"/>
      <c r="AC3" s="1837"/>
      <c r="AD3" s="1838"/>
      <c r="AE3" s="1834" t="s">
        <v>3791</v>
      </c>
      <c r="AF3" s="1834"/>
      <c r="AG3" s="1835"/>
      <c r="AH3" s="1755" t="s">
        <v>619</v>
      </c>
      <c r="AI3" s="1756"/>
      <c r="AJ3" s="1757"/>
      <c r="AK3" s="1825" t="s">
        <v>618</v>
      </c>
      <c r="AL3" s="1826"/>
      <c r="AM3" s="1827"/>
      <c r="AN3" s="1045"/>
      <c r="AO3" s="1854" t="s">
        <v>433</v>
      </c>
      <c r="AP3" s="1855"/>
      <c r="AQ3" s="1855"/>
      <c r="AR3" s="1856"/>
      <c r="BE3" s="1555" t="s">
        <v>1082</v>
      </c>
      <c r="BF3" s="1556"/>
      <c r="BG3" s="1557"/>
      <c r="BH3" s="1555" t="s">
        <v>1084</v>
      </c>
      <c r="BI3" s="1556"/>
      <c r="BJ3" s="1557"/>
    </row>
    <row r="4" spans="2:68" s="1016" customFormat="1" ht="12.95" customHeight="1" x14ac:dyDescent="0.2">
      <c r="C4" s="1740"/>
      <c r="D4" s="1726"/>
      <c r="E4" s="1726"/>
      <c r="F4" s="1726"/>
      <c r="G4" s="1726"/>
      <c r="H4" s="1726"/>
      <c r="I4" s="1726"/>
      <c r="J4" s="1726"/>
      <c r="K4" s="1726"/>
      <c r="L4" s="1726"/>
      <c r="M4" s="1726"/>
      <c r="N4" s="1726"/>
      <c r="O4" s="1726"/>
      <c r="P4" s="1726"/>
      <c r="Q4" s="1726"/>
      <c r="R4" s="1726"/>
      <c r="S4" s="1726"/>
      <c r="T4" s="1726"/>
      <c r="U4" s="1727"/>
      <c r="V4" s="1725"/>
      <c r="W4" s="1726"/>
      <c r="X4" s="1727"/>
      <c r="Y4" s="1839" t="s">
        <v>1178</v>
      </c>
      <c r="Z4" s="1840"/>
      <c r="AA4" s="1841"/>
      <c r="AB4" s="1839" t="s">
        <v>1029</v>
      </c>
      <c r="AC4" s="1840"/>
      <c r="AD4" s="1841"/>
      <c r="AE4" s="1851" t="s">
        <v>1027</v>
      </c>
      <c r="AF4" s="1852"/>
      <c r="AG4" s="1853"/>
      <c r="AH4" s="1758"/>
      <c r="AI4" s="1759"/>
      <c r="AJ4" s="1760"/>
      <c r="AK4" s="1828"/>
      <c r="AL4" s="1829"/>
      <c r="AM4" s="1830"/>
      <c r="AN4" s="1045"/>
      <c r="AO4" s="1523" t="s">
        <v>1081</v>
      </c>
      <c r="AP4" s="1524"/>
      <c r="AQ4" s="1524"/>
      <c r="AR4" s="1525"/>
      <c r="AS4" s="1557" t="s">
        <v>3790</v>
      </c>
      <c r="AT4" s="1724"/>
      <c r="AU4" s="1724"/>
      <c r="AV4" s="1724" t="s">
        <v>1093</v>
      </c>
      <c r="AW4" s="1724"/>
      <c r="AX4" s="1724"/>
      <c r="AY4" s="1724" t="s">
        <v>1082</v>
      </c>
      <c r="AZ4" s="1724"/>
      <c r="BA4" s="1724"/>
      <c r="BB4" s="1724" t="s">
        <v>1084</v>
      </c>
      <c r="BC4" s="1724"/>
      <c r="BD4" s="1724"/>
      <c r="BE4" s="1555" t="s">
        <v>2972</v>
      </c>
      <c r="BF4" s="1556"/>
      <c r="BG4" s="1557"/>
      <c r="BH4" s="1555" t="s">
        <v>2972</v>
      </c>
      <c r="BI4" s="1556"/>
      <c r="BJ4" s="1557"/>
    </row>
    <row r="5" spans="2:68" s="1016" customFormat="1" ht="12.95" customHeight="1" x14ac:dyDescent="0.2">
      <c r="C5" s="1744"/>
      <c r="D5" s="1729"/>
      <c r="E5" s="1729"/>
      <c r="F5" s="1729"/>
      <c r="G5" s="1729"/>
      <c r="H5" s="1729"/>
      <c r="I5" s="1729"/>
      <c r="J5" s="1729"/>
      <c r="K5" s="1729"/>
      <c r="L5" s="1729"/>
      <c r="M5" s="1729"/>
      <c r="N5" s="1729"/>
      <c r="O5" s="1729"/>
      <c r="P5" s="1729"/>
      <c r="Q5" s="1729"/>
      <c r="R5" s="1729"/>
      <c r="S5" s="1729"/>
      <c r="T5" s="1729"/>
      <c r="U5" s="1730"/>
      <c r="V5" s="1728"/>
      <c r="W5" s="1729"/>
      <c r="X5" s="1730"/>
      <c r="Y5" s="1842" t="s">
        <v>2767</v>
      </c>
      <c r="Z5" s="1843"/>
      <c r="AA5" s="1844"/>
      <c r="AB5" s="1842" t="s">
        <v>2768</v>
      </c>
      <c r="AC5" s="1843"/>
      <c r="AD5" s="1844"/>
      <c r="AE5" s="1842" t="s">
        <v>3792</v>
      </c>
      <c r="AF5" s="1843"/>
      <c r="AG5" s="1844"/>
      <c r="AH5" s="1822"/>
      <c r="AI5" s="1823"/>
      <c r="AJ5" s="1824"/>
      <c r="AK5" s="1831"/>
      <c r="AL5" s="1832"/>
      <c r="AM5" s="1833"/>
      <c r="AN5" s="1045"/>
      <c r="AO5" s="1303"/>
      <c r="AP5" s="1298"/>
      <c r="AQ5" s="1298"/>
      <c r="AR5" s="1304"/>
      <c r="AS5" s="1301"/>
      <c r="AT5" s="1302"/>
      <c r="AU5" s="1302"/>
      <c r="AV5" s="1302"/>
      <c r="AW5" s="1302"/>
      <c r="AX5" s="1302"/>
      <c r="AY5" s="1302"/>
      <c r="AZ5" s="1302"/>
      <c r="BA5" s="1302"/>
      <c r="BB5" s="1302"/>
      <c r="BC5" s="1302"/>
      <c r="BD5" s="1302"/>
      <c r="BE5" s="1299"/>
      <c r="BF5" s="1300"/>
      <c r="BG5" s="1301"/>
      <c r="BH5" s="1299"/>
      <c r="BI5" s="1300"/>
      <c r="BJ5" s="1301"/>
      <c r="BK5" s="1016" t="s">
        <v>3795</v>
      </c>
      <c r="BN5" s="1306" t="s">
        <v>3796</v>
      </c>
    </row>
    <row r="6" spans="2:68" s="1016" customFormat="1" ht="12.95" customHeight="1" x14ac:dyDescent="0.2">
      <c r="B6" s="18" t="s">
        <v>481</v>
      </c>
      <c r="C6" s="1519"/>
      <c r="D6" s="1459"/>
      <c r="E6" s="1459"/>
      <c r="F6" s="1459"/>
      <c r="G6" s="1459"/>
      <c r="H6" s="1459"/>
      <c r="I6" s="1459"/>
      <c r="J6" s="1459"/>
      <c r="K6" s="1459"/>
      <c r="L6" s="1459"/>
      <c r="M6" s="1459"/>
      <c r="N6" s="1459"/>
      <c r="O6" s="1459"/>
      <c r="P6" s="1459"/>
      <c r="Q6" s="1459"/>
      <c r="R6" s="1459"/>
      <c r="S6" s="1459"/>
      <c r="T6" s="1459"/>
      <c r="U6" s="1460"/>
      <c r="V6" s="1713"/>
      <c r="W6" s="1713"/>
      <c r="X6" s="1713"/>
      <c r="Y6" s="1327"/>
      <c r="Z6" s="1819"/>
      <c r="AA6" s="1329"/>
      <c r="AB6" s="1813"/>
      <c r="AC6" s="1814"/>
      <c r="AD6" s="1815"/>
      <c r="AE6" s="1816"/>
      <c r="AF6" s="1817"/>
      <c r="AG6" s="1818"/>
      <c r="AH6" s="1803">
        <v>0</v>
      </c>
      <c r="AI6" s="1803"/>
      <c r="AJ6" s="1803"/>
      <c r="AK6" s="1814"/>
      <c r="AL6" s="1814"/>
      <c r="AM6" s="1849"/>
      <c r="AN6" s="1045"/>
      <c r="AO6" s="1807" t="str">
        <f>GlassI!AR5</f>
        <v>Medium</v>
      </c>
      <c r="AP6" s="1808"/>
      <c r="AQ6" s="1808"/>
      <c r="AR6" s="1809"/>
      <c r="AS6" s="1802" t="str">
        <f>IF(C6="","",VLOOKUP(C6,Database!$AD$19:$AJ$24,2,FALSE))</f>
        <v/>
      </c>
      <c r="AT6" s="1712"/>
      <c r="AU6" s="1712"/>
      <c r="AV6" s="1712" t="str">
        <f>IF(C6="","",VLOOKUP(C6,Database!$AD$19:$AJ$24,5,FALSE))</f>
        <v/>
      </c>
      <c r="AW6" s="1712"/>
      <c r="AX6" s="1712"/>
      <c r="AY6" s="1705" t="str">
        <f>IF(C6="","",VLOOKUP(V6,KW!$A$65:$J$73,10))</f>
        <v/>
      </c>
      <c r="AZ6" s="1705"/>
      <c r="BA6" s="1705"/>
      <c r="BB6" s="1704" t="str">
        <f>IF(Skylight_Information="","",VLOOKUP(V6,KW!$A$110:$B$118,2,FALSE))</f>
        <v/>
      </c>
      <c r="BC6" s="1704"/>
      <c r="BD6" s="1704"/>
      <c r="BE6" s="1705" t="str">
        <f>IF(C6="","",VLOOKUP($BE$4,KW!$A$65:$J$73,10))</f>
        <v/>
      </c>
      <c r="BF6" s="1705"/>
      <c r="BG6" s="1705"/>
      <c r="BH6" s="1704" t="str">
        <f>IF(C6="","",VLOOKUP($BH$4,KW!$A$110:$B$118,2,FALSE))</f>
        <v/>
      </c>
      <c r="BI6" s="1704"/>
      <c r="BJ6" s="1704"/>
      <c r="BK6" s="1802" t="str">
        <f>IF(C6="","",VLOOKUP(C6,Database!$AD$19:$AK$24,8,FALSE))</f>
        <v/>
      </c>
      <c r="BL6" s="1712"/>
      <c r="BM6" s="1712"/>
      <c r="BN6" s="1802" t="str">
        <f>IF(C6="","",VLOOKUP(C6,Database!$AD$19:$AM$24,10,FALSE))</f>
        <v/>
      </c>
      <c r="BO6" s="1712"/>
      <c r="BP6" s="1712"/>
    </row>
    <row r="7" spans="2:68" s="1016" customFormat="1" ht="12.95" customHeight="1" x14ac:dyDescent="0.2">
      <c r="B7" s="18" t="s">
        <v>482</v>
      </c>
      <c r="C7" s="1519"/>
      <c r="D7" s="1459"/>
      <c r="E7" s="1459"/>
      <c r="F7" s="1459"/>
      <c r="G7" s="1459"/>
      <c r="H7" s="1459"/>
      <c r="I7" s="1459"/>
      <c r="J7" s="1459"/>
      <c r="K7" s="1459"/>
      <c r="L7" s="1459"/>
      <c r="M7" s="1459"/>
      <c r="N7" s="1459"/>
      <c r="O7" s="1459"/>
      <c r="P7" s="1459"/>
      <c r="Q7" s="1459"/>
      <c r="R7" s="1459"/>
      <c r="S7" s="1459"/>
      <c r="T7" s="1459"/>
      <c r="U7" s="1460"/>
      <c r="V7" s="1713"/>
      <c r="W7" s="1713"/>
      <c r="X7" s="1713"/>
      <c r="Y7" s="1327"/>
      <c r="Z7" s="1819"/>
      <c r="AA7" s="1329"/>
      <c r="AB7" s="1813"/>
      <c r="AC7" s="1814"/>
      <c r="AD7" s="1815"/>
      <c r="AE7" s="1816"/>
      <c r="AF7" s="1817"/>
      <c r="AG7" s="1818"/>
      <c r="AH7" s="1803">
        <v>0</v>
      </c>
      <c r="AI7" s="1803"/>
      <c r="AJ7" s="1803"/>
      <c r="AK7" s="1814"/>
      <c r="AL7" s="1814"/>
      <c r="AM7" s="1849"/>
      <c r="AN7" s="1045"/>
      <c r="AO7" s="1807"/>
      <c r="AP7" s="1808"/>
      <c r="AQ7" s="1808"/>
      <c r="AR7" s="1809"/>
      <c r="AS7" s="1802" t="str">
        <f>IF(C7="","",VLOOKUP(C7,Database!$AD$19:$AJ$24,2,FALSE))</f>
        <v/>
      </c>
      <c r="AT7" s="1712"/>
      <c r="AU7" s="1712"/>
      <c r="AV7" s="1712" t="str">
        <f>IF(C7="","",VLOOKUP(C7,Database!$AD$19:$AJ$24,5,FALSE))</f>
        <v/>
      </c>
      <c r="AW7" s="1712"/>
      <c r="AX7" s="1712"/>
      <c r="AY7" s="1705" t="str">
        <f>IF(C7="","",VLOOKUP(V7,KW!$A$65:$J$73,10))</f>
        <v/>
      </c>
      <c r="AZ7" s="1705"/>
      <c r="BA7" s="1705"/>
      <c r="BB7" s="1704" t="str">
        <f>IF(C7="","",VLOOKUP(V7,KW!$A$110:$B$118,2,FALSE))</f>
        <v/>
      </c>
      <c r="BC7" s="1704"/>
      <c r="BD7" s="1704"/>
      <c r="BE7" s="1705" t="str">
        <f>IF(C7="","",VLOOKUP($BE$4,KW!$A$65:$J$73,10))</f>
        <v/>
      </c>
      <c r="BF7" s="1705"/>
      <c r="BG7" s="1705"/>
      <c r="BH7" s="1704" t="str">
        <f>IF(C7="","",VLOOKUP($BH$4,KW!$A$110:$B$118,2,FALSE))</f>
        <v/>
      </c>
      <c r="BI7" s="1704"/>
      <c r="BJ7" s="1704"/>
      <c r="BK7" s="1802" t="str">
        <f>IF(C7="","",VLOOKUP(C7,Database!$AD$19:$AK$24,8,FALSE))</f>
        <v/>
      </c>
      <c r="BL7" s="1712"/>
      <c r="BM7" s="1712"/>
      <c r="BN7" s="1802" t="str">
        <f>IF(C7="","",VLOOKUP(C7,Database!$AD$19:$AM$24,10,FALSE))</f>
        <v/>
      </c>
      <c r="BO7" s="1712"/>
      <c r="BP7" s="1712"/>
    </row>
    <row r="8" spans="2:68" s="1016" customFormat="1" ht="12.95" customHeight="1" x14ac:dyDescent="0.2">
      <c r="B8" s="18" t="s">
        <v>483</v>
      </c>
      <c r="C8" s="1519"/>
      <c r="D8" s="1459"/>
      <c r="E8" s="1459"/>
      <c r="F8" s="1459"/>
      <c r="G8" s="1459"/>
      <c r="H8" s="1459"/>
      <c r="I8" s="1459"/>
      <c r="J8" s="1459"/>
      <c r="K8" s="1459"/>
      <c r="L8" s="1459"/>
      <c r="M8" s="1459"/>
      <c r="N8" s="1459"/>
      <c r="O8" s="1459"/>
      <c r="P8" s="1459"/>
      <c r="Q8" s="1459"/>
      <c r="R8" s="1459"/>
      <c r="S8" s="1459"/>
      <c r="T8" s="1459"/>
      <c r="U8" s="1460"/>
      <c r="V8" s="1713"/>
      <c r="W8" s="1713"/>
      <c r="X8" s="1713"/>
      <c r="Y8" s="1327"/>
      <c r="Z8" s="1819"/>
      <c r="AA8" s="1329"/>
      <c r="AB8" s="1813"/>
      <c r="AC8" s="1814"/>
      <c r="AD8" s="1815"/>
      <c r="AE8" s="1816"/>
      <c r="AF8" s="1817"/>
      <c r="AG8" s="1818"/>
      <c r="AH8" s="1803"/>
      <c r="AI8" s="1803"/>
      <c r="AJ8" s="1803"/>
      <c r="AK8" s="1814"/>
      <c r="AL8" s="1814"/>
      <c r="AM8" s="1849"/>
      <c r="AN8" s="1045"/>
      <c r="AO8" s="1807"/>
      <c r="AP8" s="1808"/>
      <c r="AQ8" s="1808"/>
      <c r="AR8" s="1809"/>
      <c r="AS8" s="1802" t="str">
        <f>IF(C8="","",VLOOKUP(C8,Database!$AD$19:$AJ$24,2,FALSE))</f>
        <v/>
      </c>
      <c r="AT8" s="1712"/>
      <c r="AU8" s="1712"/>
      <c r="AV8" s="1712" t="str">
        <f>IF(C8="","",VLOOKUP(C8,Database!$AD$19:$AJ$24,5,FALSE))</f>
        <v/>
      </c>
      <c r="AW8" s="1712"/>
      <c r="AX8" s="1712"/>
      <c r="AY8" s="1705" t="str">
        <f>IF(C8="","",VLOOKUP(V8,KW!$A$65:$J$73,10))</f>
        <v/>
      </c>
      <c r="AZ8" s="1705"/>
      <c r="BA8" s="1705"/>
      <c r="BB8" s="1704" t="str">
        <f>IF(C8="","",VLOOKUP(V8,KW!$A$110:$B$118,2,FALSE))</f>
        <v/>
      </c>
      <c r="BC8" s="1704"/>
      <c r="BD8" s="1704"/>
      <c r="BE8" s="1705" t="str">
        <f>IF(C8="","",VLOOKUP($BE$4,KW!$A$65:$J$73,10))</f>
        <v/>
      </c>
      <c r="BF8" s="1705"/>
      <c r="BG8" s="1705"/>
      <c r="BH8" s="1704" t="str">
        <f>IF(C8="","",VLOOKUP($BH$4,KW!$A$110:$B$118,2,FALSE))</f>
        <v/>
      </c>
      <c r="BI8" s="1704"/>
      <c r="BJ8" s="1704"/>
      <c r="BK8" s="1802" t="str">
        <f>IF(C8="","",VLOOKUP(C8,Database!$AD$19:$AK$24,8,FALSE))</f>
        <v/>
      </c>
      <c r="BL8" s="1712"/>
      <c r="BM8" s="1712"/>
      <c r="BN8" s="1802" t="str">
        <f>IF(C8="","",VLOOKUP(C8,Database!$AD$19:$AM$24,10,FALSE))</f>
        <v/>
      </c>
      <c r="BO8" s="1712"/>
      <c r="BP8" s="1712"/>
    </row>
    <row r="9" spans="2:68" s="1016" customFormat="1" ht="12.95" customHeight="1" x14ac:dyDescent="0.2">
      <c r="B9" s="18" t="s">
        <v>484</v>
      </c>
      <c r="C9" s="1519"/>
      <c r="D9" s="1459"/>
      <c r="E9" s="1459"/>
      <c r="F9" s="1459"/>
      <c r="G9" s="1459"/>
      <c r="H9" s="1459"/>
      <c r="I9" s="1459"/>
      <c r="J9" s="1459"/>
      <c r="K9" s="1459"/>
      <c r="L9" s="1459"/>
      <c r="M9" s="1459"/>
      <c r="N9" s="1459"/>
      <c r="O9" s="1459"/>
      <c r="P9" s="1459"/>
      <c r="Q9" s="1459"/>
      <c r="R9" s="1459"/>
      <c r="S9" s="1459"/>
      <c r="T9" s="1459"/>
      <c r="U9" s="1460"/>
      <c r="V9" s="1713"/>
      <c r="W9" s="1713"/>
      <c r="X9" s="1713"/>
      <c r="Y9" s="1327"/>
      <c r="Z9" s="1819"/>
      <c r="AA9" s="1329"/>
      <c r="AB9" s="1813"/>
      <c r="AC9" s="1814"/>
      <c r="AD9" s="1815"/>
      <c r="AE9" s="1816"/>
      <c r="AF9" s="1817"/>
      <c r="AG9" s="1818"/>
      <c r="AH9" s="1803"/>
      <c r="AI9" s="1803"/>
      <c r="AJ9" s="1803"/>
      <c r="AK9" s="1814"/>
      <c r="AL9" s="1814"/>
      <c r="AM9" s="1849"/>
      <c r="AN9" s="1045"/>
      <c r="AO9" s="1807"/>
      <c r="AP9" s="1808"/>
      <c r="AQ9" s="1808"/>
      <c r="AR9" s="1809"/>
      <c r="AS9" s="1802" t="str">
        <f>IF(C9="","",VLOOKUP(C9,Database!$AD$19:$AJ$24,2,FALSE))</f>
        <v/>
      </c>
      <c r="AT9" s="1712"/>
      <c r="AU9" s="1712"/>
      <c r="AV9" s="1712" t="str">
        <f>IF(C9="","",VLOOKUP(C9,Database!$AD$19:$AJ$24,5,FALSE))</f>
        <v/>
      </c>
      <c r="AW9" s="1712"/>
      <c r="AX9" s="1712"/>
      <c r="AY9" s="1705" t="str">
        <f>IF(C9="","",VLOOKUP(V9,KW!$A$65:$J$73,10))</f>
        <v/>
      </c>
      <c r="AZ9" s="1705"/>
      <c r="BA9" s="1705"/>
      <c r="BB9" s="1704" t="str">
        <f>IF(C9="","",VLOOKUP(V9,KW!$A$110:$B$118,2,FALSE))</f>
        <v/>
      </c>
      <c r="BC9" s="1704"/>
      <c r="BD9" s="1704"/>
      <c r="BE9" s="1705" t="str">
        <f>IF(C9="","",VLOOKUP($BE$4,KW!$A$65:$J$73,10))</f>
        <v/>
      </c>
      <c r="BF9" s="1705"/>
      <c r="BG9" s="1705"/>
      <c r="BH9" s="1704" t="str">
        <f>IF(C9="","",VLOOKUP($BH$4,KW!$A$110:$B$118,2,FALSE))</f>
        <v/>
      </c>
      <c r="BI9" s="1704"/>
      <c r="BJ9" s="1704"/>
      <c r="BK9" s="1802" t="str">
        <f>IF(C9="","",VLOOKUP(C9,Database!$AD$19:$AK$24,8,FALSE))</f>
        <v/>
      </c>
      <c r="BL9" s="1712"/>
      <c r="BM9" s="1712"/>
      <c r="BN9" s="1802" t="str">
        <f>IF(C9="","",VLOOKUP(C9,Database!$AD$19:$AM$24,10,FALSE))</f>
        <v/>
      </c>
      <c r="BO9" s="1712"/>
      <c r="BP9" s="1712"/>
    </row>
    <row r="10" spans="2:68" s="1016" customFormat="1" ht="12.95" customHeight="1" thickBot="1" x14ac:dyDescent="0.25">
      <c r="B10" s="18" t="s">
        <v>485</v>
      </c>
      <c r="C10" s="1857"/>
      <c r="D10" s="1858"/>
      <c r="E10" s="1858"/>
      <c r="F10" s="1858"/>
      <c r="G10" s="1858"/>
      <c r="H10" s="1858"/>
      <c r="I10" s="1858"/>
      <c r="J10" s="1858"/>
      <c r="K10" s="1858"/>
      <c r="L10" s="1858"/>
      <c r="M10" s="1858"/>
      <c r="N10" s="1858"/>
      <c r="O10" s="1858"/>
      <c r="P10" s="1858"/>
      <c r="Q10" s="1858"/>
      <c r="R10" s="1858"/>
      <c r="S10" s="1858"/>
      <c r="T10" s="1858"/>
      <c r="U10" s="1859"/>
      <c r="V10" s="1860"/>
      <c r="W10" s="1860"/>
      <c r="X10" s="1860"/>
      <c r="Y10" s="1324"/>
      <c r="Z10" s="1820"/>
      <c r="AA10" s="1821"/>
      <c r="AB10" s="1845"/>
      <c r="AC10" s="1846"/>
      <c r="AD10" s="1847"/>
      <c r="AE10" s="1861"/>
      <c r="AF10" s="1862"/>
      <c r="AG10" s="1863"/>
      <c r="AH10" s="1848"/>
      <c r="AI10" s="1848"/>
      <c r="AJ10" s="1848"/>
      <c r="AK10" s="1846"/>
      <c r="AL10" s="1846"/>
      <c r="AM10" s="1850"/>
      <c r="AN10" s="1045"/>
      <c r="AO10" s="1810"/>
      <c r="AP10" s="1811"/>
      <c r="AQ10" s="1811"/>
      <c r="AR10" s="1812"/>
      <c r="AS10" s="1802" t="str">
        <f>IF(C10="","",VLOOKUP(C10,Database!$AD$19:$AJ$24,2,FALSE))</f>
        <v/>
      </c>
      <c r="AT10" s="1712"/>
      <c r="AU10" s="1712"/>
      <c r="AV10" s="1712" t="str">
        <f>IF(C10="","",VLOOKUP(C10,Database!$AD$19:$AJ$24,5,FALSE))</f>
        <v/>
      </c>
      <c r="AW10" s="1712"/>
      <c r="AX10" s="1712"/>
      <c r="AY10" s="1705" t="str">
        <f>IF(C10="","",VLOOKUP(V10,KW!$A$65:$J$73,10))</f>
        <v/>
      </c>
      <c r="AZ10" s="1705"/>
      <c r="BA10" s="1705"/>
      <c r="BB10" s="1704" t="str">
        <f>IF(C10="","",VLOOKUP(V10,KW!$A$110:$B$118,2,FALSE))</f>
        <v/>
      </c>
      <c r="BC10" s="1704"/>
      <c r="BD10" s="1704"/>
      <c r="BE10" s="1705" t="str">
        <f>IF(C10="","",VLOOKUP($BE$4,KW!$A$65:$J$73,10))</f>
        <v/>
      </c>
      <c r="BF10" s="1705"/>
      <c r="BG10" s="1705"/>
      <c r="BH10" s="1704" t="str">
        <f>IF(C10="","",VLOOKUP($BH$4,KW!$A$110:$B$118,2,FALSE))</f>
        <v/>
      </c>
      <c r="BI10" s="1704"/>
      <c r="BJ10" s="1704"/>
      <c r="BK10" s="1802" t="str">
        <f>IF(C10="","",VLOOKUP(C10,Database!$AD$19:$AK$24,8,FALSE))</f>
        <v/>
      </c>
      <c r="BL10" s="1712"/>
      <c r="BM10" s="1712"/>
      <c r="BN10" s="1802" t="str">
        <f>IF(C10="","",VLOOKUP(C10,Database!$AD$19:$AM$24,10,FALSE))</f>
        <v/>
      </c>
      <c r="BO10" s="1712"/>
      <c r="BP10" s="1712"/>
    </row>
    <row r="11" spans="2:68" s="1016" customFormat="1" ht="12.95" customHeight="1" thickBot="1" x14ac:dyDescent="0.25">
      <c r="C11" s="1804" t="s">
        <v>3405</v>
      </c>
      <c r="D11" s="1805"/>
      <c r="E11" s="1805"/>
      <c r="F11" s="1805"/>
      <c r="G11" s="1805"/>
      <c r="H11" s="1805"/>
      <c r="I11" s="1805"/>
      <c r="J11" s="1805"/>
      <c r="K11" s="1805"/>
      <c r="L11" s="1805"/>
      <c r="M11" s="1805"/>
      <c r="N11" s="1805"/>
      <c r="O11" s="1805"/>
      <c r="P11" s="1805"/>
      <c r="Q11" s="1805"/>
      <c r="R11" s="1805"/>
      <c r="S11" s="1805"/>
      <c r="T11" s="1805"/>
      <c r="U11" s="1805"/>
      <c r="V11" s="1805"/>
      <c r="W11" s="1805"/>
      <c r="X11" s="1805"/>
      <c r="Y11" s="1805"/>
      <c r="Z11" s="1805"/>
      <c r="AA11" s="1805"/>
      <c r="AB11" s="1805"/>
      <c r="AC11" s="1805"/>
      <c r="AD11" s="1805"/>
      <c r="AE11" s="1805"/>
      <c r="AF11" s="1805"/>
      <c r="AG11" s="1805"/>
      <c r="AH11" s="1805"/>
      <c r="AI11" s="1805"/>
      <c r="AJ11" s="1805"/>
      <c r="AK11" s="1805"/>
      <c r="AL11" s="1805"/>
      <c r="AM11" s="1806"/>
      <c r="AN11" s="1045"/>
      <c r="AO11" s="1045"/>
    </row>
  </sheetData>
  <sheetProtection password="CA39" sheet="1" objects="1" scenarios="1"/>
  <mergeCells count="100">
    <mergeCell ref="C6:U6"/>
    <mergeCell ref="V6:X6"/>
    <mergeCell ref="AS6:AU6"/>
    <mergeCell ref="AV6:AX6"/>
    <mergeCell ref="AY6:BA6"/>
    <mergeCell ref="C7:U7"/>
    <mergeCell ref="C9:U9"/>
    <mergeCell ref="C10:U10"/>
    <mergeCell ref="V10:X10"/>
    <mergeCell ref="AS10:AU10"/>
    <mergeCell ref="AE10:AG10"/>
    <mergeCell ref="V8:X8"/>
    <mergeCell ref="AS8:AU8"/>
    <mergeCell ref="AS7:AU7"/>
    <mergeCell ref="Y8:AA8"/>
    <mergeCell ref="AH8:AJ8"/>
    <mergeCell ref="C8:U8"/>
    <mergeCell ref="AY10:BA10"/>
    <mergeCell ref="V7:X7"/>
    <mergeCell ref="V9:X9"/>
    <mergeCell ref="AE8:AG8"/>
    <mergeCell ref="AE9:AG9"/>
    <mergeCell ref="AY7:BA7"/>
    <mergeCell ref="AB7:AD7"/>
    <mergeCell ref="Y7:AA7"/>
    <mergeCell ref="AY8:BA8"/>
    <mergeCell ref="AV8:AX8"/>
    <mergeCell ref="BH9:BJ9"/>
    <mergeCell ref="BH10:BJ10"/>
    <mergeCell ref="BE10:BG10"/>
    <mergeCell ref="BE7:BG7"/>
    <mergeCell ref="BE8:BG8"/>
    <mergeCell ref="BE9:BG9"/>
    <mergeCell ref="AO3:AR3"/>
    <mergeCell ref="BE3:BG3"/>
    <mergeCell ref="BH3:BJ3"/>
    <mergeCell ref="BH4:BJ4"/>
    <mergeCell ref="BE6:BG6"/>
    <mergeCell ref="BE4:BG4"/>
    <mergeCell ref="AO4:AR4"/>
    <mergeCell ref="AV4:AX4"/>
    <mergeCell ref="AS4:AU4"/>
    <mergeCell ref="BH6:BJ6"/>
    <mergeCell ref="AY4:BA4"/>
    <mergeCell ref="BB4:BD4"/>
    <mergeCell ref="BB6:BD6"/>
    <mergeCell ref="C2:AL2"/>
    <mergeCell ref="AB10:AD10"/>
    <mergeCell ref="AH9:AJ9"/>
    <mergeCell ref="AH10:AJ10"/>
    <mergeCell ref="AK6:AM6"/>
    <mergeCell ref="AK7:AM7"/>
    <mergeCell ref="AK8:AM8"/>
    <mergeCell ref="AK9:AM9"/>
    <mergeCell ref="AK10:AM10"/>
    <mergeCell ref="AB4:AD4"/>
    <mergeCell ref="AE4:AG4"/>
    <mergeCell ref="AE5:AG5"/>
    <mergeCell ref="AE6:AG6"/>
    <mergeCell ref="V3:X5"/>
    <mergeCell ref="Y5:AA5"/>
    <mergeCell ref="Y6:AA6"/>
    <mergeCell ref="C3:U5"/>
    <mergeCell ref="AH3:AJ5"/>
    <mergeCell ref="AK3:AM5"/>
    <mergeCell ref="AE3:AG3"/>
    <mergeCell ref="Y3:AD3"/>
    <mergeCell ref="Y4:AA4"/>
    <mergeCell ref="AB5:AD5"/>
    <mergeCell ref="C11:AM11"/>
    <mergeCell ref="AO6:AR10"/>
    <mergeCell ref="AY9:BA9"/>
    <mergeCell ref="AB9:AD9"/>
    <mergeCell ref="BB10:BD10"/>
    <mergeCell ref="AH7:AJ7"/>
    <mergeCell ref="AE7:AG7"/>
    <mergeCell ref="AB6:AD6"/>
    <mergeCell ref="AV7:AX7"/>
    <mergeCell ref="AS9:AU9"/>
    <mergeCell ref="Y9:AA9"/>
    <mergeCell ref="AB8:AD8"/>
    <mergeCell ref="AV9:AX9"/>
    <mergeCell ref="AV10:AX10"/>
    <mergeCell ref="BB9:BD9"/>
    <mergeCell ref="Y10:AA10"/>
    <mergeCell ref="BK6:BM6"/>
    <mergeCell ref="BN6:BP6"/>
    <mergeCell ref="BK7:BM7"/>
    <mergeCell ref="BK8:BM8"/>
    <mergeCell ref="AH6:AJ6"/>
    <mergeCell ref="BH7:BJ7"/>
    <mergeCell ref="BH8:BJ8"/>
    <mergeCell ref="BB7:BD7"/>
    <mergeCell ref="BB8:BD8"/>
    <mergeCell ref="BK9:BM9"/>
    <mergeCell ref="BK10:BM10"/>
    <mergeCell ref="BN7:BP7"/>
    <mergeCell ref="BN8:BP8"/>
    <mergeCell ref="BN9:BP9"/>
    <mergeCell ref="BN10:BP10"/>
  </mergeCells>
  <phoneticPr fontId="2" type="noConversion"/>
  <dataValidations count="3">
    <dataValidation type="whole" allowBlank="1" showInputMessage="1" showErrorMessage="1" sqref="AH6:AJ10" xr:uid="{00000000-0002-0000-0C00-000000000000}">
      <formula1>0</formula1>
      <formula2>90</formula2>
    </dataValidation>
    <dataValidation type="list" allowBlank="1" showInputMessage="1" showErrorMessage="1" sqref="V6:X10" xr:uid="{00000000-0002-0000-0C00-000001000000}">
      <formula1>Glass_Direction</formula1>
    </dataValidation>
    <dataValidation type="list" allowBlank="1" showInputMessage="1" showErrorMessage="1" sqref="C6:U10" xr:uid="{00000000-0002-0000-0C00-000002000000}">
      <formula1>Skylights_Data2</formula1>
    </dataValidation>
  </dataValidations>
  <hyperlinks>
    <hyperlink ref="C11:AG11" location="N1_Skylights" display="► Return to N1 Form" xr:uid="{00000000-0004-0000-0C00-000000000000}"/>
  </hyperlinks>
  <pageMargins left="0.75" right="0.75" top="1" bottom="1" header="0.5" footer="0.5"/>
  <pageSetup orientation="portrait" r:id="rId1"/>
  <headerFooter alignWithMargins="0"/>
  <customProperties>
    <customPr name="SSCSheetTrackingNo"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5">
    <tabColor indexed="15"/>
  </sheetPr>
  <dimension ref="B1:AH8"/>
  <sheetViews>
    <sheetView showRowColHeaders="0" workbookViewId="0">
      <selection activeCell="C5" sqref="C5:U5"/>
    </sheetView>
  </sheetViews>
  <sheetFormatPr defaultColWidth="2.7109375" defaultRowHeight="12.95" customHeight="1" x14ac:dyDescent="0.2"/>
  <cols>
    <col min="1" max="31" width="2.7109375" style="977" customWidth="1"/>
    <col min="32" max="34" width="2.7109375" style="977" hidden="1" customWidth="1"/>
    <col min="35" max="16384" width="2.7109375" style="977"/>
  </cols>
  <sheetData>
    <row r="1" spans="2:34" s="1016" customFormat="1" ht="12.95" customHeight="1" thickBot="1" x14ac:dyDescent="0.25"/>
    <row r="2" spans="2:34" s="1016" customFormat="1" ht="12.95" customHeight="1" thickBot="1" x14ac:dyDescent="0.25">
      <c r="C2" s="1533" t="s">
        <v>1536</v>
      </c>
      <c r="D2" s="1534"/>
      <c r="E2" s="1534"/>
      <c r="F2" s="1534"/>
      <c r="G2" s="1534"/>
      <c r="H2" s="1534"/>
      <c r="I2" s="1534"/>
      <c r="J2" s="1534"/>
      <c r="K2" s="1534"/>
      <c r="L2" s="1534"/>
      <c r="M2" s="1534"/>
      <c r="N2" s="1534"/>
      <c r="O2" s="1534"/>
      <c r="P2" s="1534"/>
      <c r="Q2" s="1534"/>
      <c r="R2" s="1534"/>
      <c r="S2" s="1534"/>
      <c r="T2" s="1534"/>
      <c r="U2" s="1534"/>
      <c r="V2" s="1534"/>
      <c r="W2" s="1534"/>
      <c r="X2" s="1534"/>
      <c r="Y2" s="1534"/>
      <c r="Z2" s="1534"/>
      <c r="AA2" s="1534"/>
      <c r="AB2" s="1534"/>
      <c r="AC2" s="1534"/>
      <c r="AD2" s="1535"/>
    </row>
    <row r="3" spans="2:34" s="1016" customFormat="1" ht="12.95" customHeight="1" x14ac:dyDescent="0.2">
      <c r="C3" s="1740" t="s">
        <v>2507</v>
      </c>
      <c r="D3" s="1726"/>
      <c r="E3" s="1726"/>
      <c r="F3" s="1726"/>
      <c r="G3" s="1726"/>
      <c r="H3" s="1726"/>
      <c r="I3" s="1726"/>
      <c r="J3" s="1726"/>
      <c r="K3" s="1726"/>
      <c r="L3" s="1726"/>
      <c r="M3" s="1726"/>
      <c r="N3" s="1726"/>
      <c r="O3" s="1726"/>
      <c r="P3" s="1726"/>
      <c r="Q3" s="1726"/>
      <c r="R3" s="1726"/>
      <c r="S3" s="1726"/>
      <c r="T3" s="1726"/>
      <c r="U3" s="1727"/>
      <c r="V3" s="1725" t="s">
        <v>3618</v>
      </c>
      <c r="W3" s="1726"/>
      <c r="X3" s="1727"/>
      <c r="Y3" s="1851" t="s">
        <v>1427</v>
      </c>
      <c r="Z3" s="1852"/>
      <c r="AA3" s="1852"/>
      <c r="AB3" s="1725" t="s">
        <v>3493</v>
      </c>
      <c r="AC3" s="1726"/>
      <c r="AD3" s="1868"/>
    </row>
    <row r="4" spans="2:34" s="1016" customFormat="1" ht="12.95" customHeight="1" x14ac:dyDescent="0.2">
      <c r="C4" s="1744"/>
      <c r="D4" s="1729"/>
      <c r="E4" s="1729"/>
      <c r="F4" s="1729"/>
      <c r="G4" s="1729"/>
      <c r="H4" s="1729"/>
      <c r="I4" s="1729"/>
      <c r="J4" s="1729"/>
      <c r="K4" s="1729"/>
      <c r="L4" s="1729"/>
      <c r="M4" s="1729"/>
      <c r="N4" s="1729"/>
      <c r="O4" s="1729"/>
      <c r="P4" s="1729"/>
      <c r="Q4" s="1729"/>
      <c r="R4" s="1729"/>
      <c r="S4" s="1729"/>
      <c r="T4" s="1729"/>
      <c r="U4" s="1730"/>
      <c r="V4" s="1728"/>
      <c r="W4" s="1729"/>
      <c r="X4" s="1730"/>
      <c r="Y4" s="1544" t="s">
        <v>729</v>
      </c>
      <c r="Z4" s="1544"/>
      <c r="AA4" s="1523"/>
      <c r="AB4" s="1728"/>
      <c r="AC4" s="1729"/>
      <c r="AD4" s="1869"/>
      <c r="AF4" s="1724" t="s">
        <v>3497</v>
      </c>
      <c r="AG4" s="1724"/>
      <c r="AH4" s="1724"/>
    </row>
    <row r="5" spans="2:34" s="1016" customFormat="1" ht="12.95" customHeight="1" x14ac:dyDescent="0.2">
      <c r="B5" s="18" t="s">
        <v>481</v>
      </c>
      <c r="C5" s="1866"/>
      <c r="D5" s="1867"/>
      <c r="E5" s="1867"/>
      <c r="F5" s="1867"/>
      <c r="G5" s="1867"/>
      <c r="H5" s="1867"/>
      <c r="I5" s="1867"/>
      <c r="J5" s="1867"/>
      <c r="K5" s="1867"/>
      <c r="L5" s="1867"/>
      <c r="M5" s="1867"/>
      <c r="N5" s="1867"/>
      <c r="O5" s="1867"/>
      <c r="P5" s="1867"/>
      <c r="Q5" s="1867"/>
      <c r="R5" s="1867"/>
      <c r="S5" s="1867"/>
      <c r="T5" s="1867"/>
      <c r="U5" s="1867"/>
      <c r="V5" s="1713"/>
      <c r="W5" s="1713"/>
      <c r="X5" s="1713"/>
      <c r="Y5" s="1552"/>
      <c r="Z5" s="1553"/>
      <c r="AA5" s="1553"/>
      <c r="AB5" s="1803" t="s">
        <v>3789</v>
      </c>
      <c r="AC5" s="1803"/>
      <c r="AD5" s="1870"/>
      <c r="AF5" s="1704" t="str">
        <f>IF(C5="","",VLOOKUP(C5,Database!$AD$28:$AE$33,2,FALSE))</f>
        <v/>
      </c>
      <c r="AG5" s="1704"/>
      <c r="AH5" s="1704"/>
    </row>
    <row r="6" spans="2:34" s="1016" customFormat="1" ht="12.95" customHeight="1" x14ac:dyDescent="0.2">
      <c r="B6" s="18" t="s">
        <v>482</v>
      </c>
      <c r="C6" s="1866"/>
      <c r="D6" s="1867"/>
      <c r="E6" s="1867"/>
      <c r="F6" s="1867"/>
      <c r="G6" s="1867"/>
      <c r="H6" s="1867"/>
      <c r="I6" s="1867"/>
      <c r="J6" s="1867"/>
      <c r="K6" s="1867"/>
      <c r="L6" s="1867"/>
      <c r="M6" s="1867"/>
      <c r="N6" s="1867"/>
      <c r="O6" s="1867"/>
      <c r="P6" s="1867"/>
      <c r="Q6" s="1867"/>
      <c r="R6" s="1867"/>
      <c r="S6" s="1867"/>
      <c r="T6" s="1867"/>
      <c r="U6" s="1867"/>
      <c r="V6" s="1713"/>
      <c r="W6" s="1713"/>
      <c r="X6" s="1713"/>
      <c r="Y6" s="1552"/>
      <c r="Z6" s="1553"/>
      <c r="AA6" s="1553"/>
      <c r="AB6" s="1803" t="s">
        <v>3789</v>
      </c>
      <c r="AC6" s="1803"/>
      <c r="AD6" s="1870"/>
      <c r="AF6" s="1704" t="str">
        <f>IF(C6="","",VLOOKUP(C6,Database!$AD$28:$AE$33,2,FALSE))</f>
        <v/>
      </c>
      <c r="AG6" s="1704"/>
      <c r="AH6" s="1704"/>
    </row>
    <row r="7" spans="2:34" s="1016" customFormat="1" ht="12.95" customHeight="1" thickBot="1" x14ac:dyDescent="0.25">
      <c r="B7" s="18" t="s">
        <v>483</v>
      </c>
      <c r="C7" s="1871"/>
      <c r="D7" s="1872"/>
      <c r="E7" s="1872"/>
      <c r="F7" s="1872"/>
      <c r="G7" s="1872"/>
      <c r="H7" s="1872"/>
      <c r="I7" s="1872"/>
      <c r="J7" s="1872"/>
      <c r="K7" s="1872"/>
      <c r="L7" s="1872"/>
      <c r="M7" s="1872"/>
      <c r="N7" s="1872"/>
      <c r="O7" s="1872"/>
      <c r="P7" s="1872"/>
      <c r="Q7" s="1872"/>
      <c r="R7" s="1872"/>
      <c r="S7" s="1872"/>
      <c r="T7" s="1872"/>
      <c r="U7" s="1872"/>
      <c r="V7" s="1860"/>
      <c r="W7" s="1860"/>
      <c r="X7" s="1860"/>
      <c r="Y7" s="1711"/>
      <c r="Z7" s="1709"/>
      <c r="AA7" s="1709"/>
      <c r="AB7" s="1848"/>
      <c r="AC7" s="1848"/>
      <c r="AD7" s="1873"/>
      <c r="AF7" s="1704" t="str">
        <f>IF(C7="","",VLOOKUP(C7,Database!$AD$28:$AE$33,2,FALSE))</f>
        <v/>
      </c>
      <c r="AG7" s="1704"/>
      <c r="AH7" s="1704"/>
    </row>
    <row r="8" spans="2:34" s="1016" customFormat="1" ht="12.95" customHeight="1" thickBot="1" x14ac:dyDescent="0.25">
      <c r="C8" s="1804" t="s">
        <v>3405</v>
      </c>
      <c r="D8" s="1864"/>
      <c r="E8" s="1864"/>
      <c r="F8" s="1864"/>
      <c r="G8" s="1864"/>
      <c r="H8" s="1864"/>
      <c r="I8" s="1864"/>
      <c r="J8" s="1864"/>
      <c r="K8" s="1864"/>
      <c r="L8" s="1864"/>
      <c r="M8" s="1864"/>
      <c r="N8" s="1864"/>
      <c r="O8" s="1864"/>
      <c r="P8" s="1864"/>
      <c r="Q8" s="1864"/>
      <c r="R8" s="1864"/>
      <c r="S8" s="1864"/>
      <c r="T8" s="1864"/>
      <c r="U8" s="1864"/>
      <c r="V8" s="1864"/>
      <c r="W8" s="1864"/>
      <c r="X8" s="1864"/>
      <c r="Y8" s="1864"/>
      <c r="Z8" s="1864"/>
      <c r="AA8" s="1864"/>
      <c r="AB8" s="1864"/>
      <c r="AC8" s="1864"/>
      <c r="AD8" s="1865"/>
    </row>
  </sheetData>
  <sheetProtection password="CA39" sheet="1" objects="1" scenarios="1"/>
  <mergeCells count="23">
    <mergeCell ref="AF6:AH6"/>
    <mergeCell ref="AB7:AD7"/>
    <mergeCell ref="V6:X6"/>
    <mergeCell ref="V7:X7"/>
    <mergeCell ref="AF7:AH7"/>
    <mergeCell ref="Y6:AA6"/>
    <mergeCell ref="Y7:AA7"/>
    <mergeCell ref="AF4:AH4"/>
    <mergeCell ref="Y4:AA4"/>
    <mergeCell ref="V3:X4"/>
    <mergeCell ref="V5:X5"/>
    <mergeCell ref="Y5:AA5"/>
    <mergeCell ref="AF5:AH5"/>
    <mergeCell ref="C8:AD8"/>
    <mergeCell ref="C6:U6"/>
    <mergeCell ref="AB3:AD4"/>
    <mergeCell ref="C2:AD2"/>
    <mergeCell ref="C3:U4"/>
    <mergeCell ref="Y3:AA3"/>
    <mergeCell ref="AB5:AD5"/>
    <mergeCell ref="AB6:AD6"/>
    <mergeCell ref="C7:U7"/>
    <mergeCell ref="C5:U5"/>
  </mergeCells>
  <phoneticPr fontId="2" type="noConversion"/>
  <dataValidations count="3">
    <dataValidation type="list" allowBlank="1" showInputMessage="1" showErrorMessage="1" sqref="C5:U7" xr:uid="{00000000-0002-0000-0D00-000000000000}">
      <formula1>Doors_Data2</formula1>
    </dataValidation>
    <dataValidation type="list" allowBlank="1" showInputMessage="1" showErrorMessage="1" sqref="V5:X7" xr:uid="{00000000-0002-0000-0D00-000001000000}">
      <formula1>Glass_Direction</formula1>
    </dataValidation>
    <dataValidation type="list" allowBlank="1" showInputMessage="1" showErrorMessage="1" sqref="AB5:AB7" xr:uid="{00000000-0002-0000-0D00-000002000000}">
      <formula1>Color_Adjust_Wall</formula1>
    </dataValidation>
  </dataValidations>
  <hyperlinks>
    <hyperlink ref="C8:U8" location="Dashboard" display="► Return to Dashboard" xr:uid="{00000000-0004-0000-0D00-000000000000}"/>
    <hyperlink ref="C8:AD8" location="N1_Doors" display="► Return to N1 Form" xr:uid="{00000000-0004-0000-0D00-000001000000}"/>
  </hyperlinks>
  <pageMargins left="0.75" right="0.75" top="1" bottom="1" header="0.5" footer="0.5"/>
  <headerFooter alignWithMargins="0"/>
  <customProperties>
    <customPr name="SSCSheetTrackingNo" r:id="rId1"/>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6">
    <tabColor indexed="15"/>
  </sheetPr>
  <dimension ref="B1:AP18"/>
  <sheetViews>
    <sheetView showRowColHeaders="0" workbookViewId="0">
      <selection activeCell="C5" sqref="C5:U5"/>
    </sheetView>
  </sheetViews>
  <sheetFormatPr defaultColWidth="2.7109375" defaultRowHeight="12.95" customHeight="1" x14ac:dyDescent="0.2"/>
  <cols>
    <col min="1" max="30" width="2.7109375" style="977" customWidth="1"/>
    <col min="31" max="42" width="2.7109375" style="977" hidden="1" customWidth="1"/>
    <col min="43" max="16384" width="2.7109375" style="977"/>
  </cols>
  <sheetData>
    <row r="1" spans="2:42" s="1016" customFormat="1" ht="12.95" customHeight="1" thickBot="1" x14ac:dyDescent="0.25"/>
    <row r="2" spans="2:42" s="1016" customFormat="1" ht="12.95" customHeight="1" thickBot="1" x14ac:dyDescent="0.25">
      <c r="C2" s="1533" t="s">
        <v>1537</v>
      </c>
      <c r="D2" s="1534"/>
      <c r="E2" s="1534"/>
      <c r="F2" s="1534"/>
      <c r="G2" s="1534"/>
      <c r="H2" s="1534"/>
      <c r="I2" s="1534"/>
      <c r="J2" s="1534"/>
      <c r="K2" s="1534"/>
      <c r="L2" s="1534"/>
      <c r="M2" s="1534"/>
      <c r="N2" s="1534"/>
      <c r="O2" s="1534"/>
      <c r="P2" s="1534"/>
      <c r="Q2" s="1534"/>
      <c r="R2" s="1534"/>
      <c r="S2" s="1534"/>
      <c r="T2" s="1534"/>
      <c r="U2" s="1534"/>
      <c r="V2" s="1534"/>
      <c r="W2" s="1534"/>
      <c r="X2" s="1534"/>
      <c r="Y2" s="1534"/>
      <c r="Z2" s="1534"/>
      <c r="AA2" s="1534"/>
      <c r="AB2" s="1534"/>
      <c r="AC2" s="1534"/>
      <c r="AD2" s="1535"/>
    </row>
    <row r="3" spans="2:42" s="1016" customFormat="1" ht="12.95" customHeight="1" x14ac:dyDescent="0.2">
      <c r="C3" s="1740" t="s">
        <v>2507</v>
      </c>
      <c r="D3" s="1726"/>
      <c r="E3" s="1726"/>
      <c r="F3" s="1726"/>
      <c r="G3" s="1726"/>
      <c r="H3" s="1726"/>
      <c r="I3" s="1726"/>
      <c r="J3" s="1726"/>
      <c r="K3" s="1726"/>
      <c r="L3" s="1726"/>
      <c r="M3" s="1726"/>
      <c r="N3" s="1726"/>
      <c r="O3" s="1726"/>
      <c r="P3" s="1726"/>
      <c r="Q3" s="1726"/>
      <c r="R3" s="1726"/>
      <c r="S3" s="1726"/>
      <c r="T3" s="1726"/>
      <c r="U3" s="1727"/>
      <c r="V3" s="1851" t="s">
        <v>1427</v>
      </c>
      <c r="W3" s="1852"/>
      <c r="X3" s="1852"/>
      <c r="Y3" s="1725" t="s">
        <v>3618</v>
      </c>
      <c r="Z3" s="1726"/>
      <c r="AA3" s="1727"/>
      <c r="AB3" s="1725" t="s">
        <v>3493</v>
      </c>
      <c r="AC3" s="1726"/>
      <c r="AD3" s="1868"/>
    </row>
    <row r="4" spans="2:42" s="1016" customFormat="1" ht="12.95" customHeight="1" x14ac:dyDescent="0.2">
      <c r="C4" s="1744"/>
      <c r="D4" s="1729"/>
      <c r="E4" s="1729"/>
      <c r="F4" s="1729"/>
      <c r="G4" s="1729"/>
      <c r="H4" s="1729"/>
      <c r="I4" s="1729"/>
      <c r="J4" s="1729"/>
      <c r="K4" s="1729"/>
      <c r="L4" s="1729"/>
      <c r="M4" s="1729"/>
      <c r="N4" s="1729"/>
      <c r="O4" s="1729"/>
      <c r="P4" s="1729"/>
      <c r="Q4" s="1729"/>
      <c r="R4" s="1729"/>
      <c r="S4" s="1729"/>
      <c r="T4" s="1729"/>
      <c r="U4" s="1730"/>
      <c r="V4" s="1544" t="s">
        <v>729</v>
      </c>
      <c r="W4" s="1544"/>
      <c r="X4" s="1523"/>
      <c r="Y4" s="1728"/>
      <c r="Z4" s="1729"/>
      <c r="AA4" s="1730"/>
      <c r="AB4" s="1728"/>
      <c r="AC4" s="1729"/>
      <c r="AD4" s="1869"/>
      <c r="AF4" s="1724" t="s">
        <v>3497</v>
      </c>
      <c r="AG4" s="1724"/>
      <c r="AH4" s="1724"/>
      <c r="AI4" s="1724" t="s">
        <v>3500</v>
      </c>
      <c r="AJ4" s="1724"/>
      <c r="AK4" s="1555" t="s">
        <v>1534</v>
      </c>
      <c r="AL4" s="1556"/>
      <c r="AM4" s="1557"/>
      <c r="AN4" s="1555" t="s">
        <v>2838</v>
      </c>
      <c r="AO4" s="1556"/>
      <c r="AP4" s="1557"/>
    </row>
    <row r="5" spans="2:42" s="1016" customFormat="1" ht="12.95" customHeight="1" x14ac:dyDescent="0.2">
      <c r="B5" s="18" t="s">
        <v>481</v>
      </c>
      <c r="C5" s="1519"/>
      <c r="D5" s="1459"/>
      <c r="E5" s="1459"/>
      <c r="F5" s="1459"/>
      <c r="G5" s="1459"/>
      <c r="H5" s="1459"/>
      <c r="I5" s="1459"/>
      <c r="J5" s="1459"/>
      <c r="K5" s="1459"/>
      <c r="L5" s="1459"/>
      <c r="M5" s="1459"/>
      <c r="N5" s="1459"/>
      <c r="O5" s="1459"/>
      <c r="P5" s="1459"/>
      <c r="Q5" s="1459"/>
      <c r="R5" s="1459"/>
      <c r="S5" s="1459"/>
      <c r="T5" s="1459"/>
      <c r="U5" s="1460"/>
      <c r="V5" s="1552"/>
      <c r="W5" s="1553"/>
      <c r="X5" s="1554"/>
      <c r="Y5" s="1579"/>
      <c r="Z5" s="1580"/>
      <c r="AA5" s="1880"/>
      <c r="AB5" s="1803" t="s">
        <v>3789</v>
      </c>
      <c r="AC5" s="1803"/>
      <c r="AD5" s="1870"/>
      <c r="AF5" s="1874" t="str">
        <f>IF(C5="","",VLOOKUP(C5,Database!$AD$37:$AE$45,2,FALSE))</f>
        <v/>
      </c>
      <c r="AG5" s="1874"/>
      <c r="AH5" s="1874"/>
      <c r="AI5" s="1712" t="e">
        <f>INDEX(KW!$A$153:$AR$161,MATCH(WallI!Y5,KW!$A$153:$A$161),MATCH(AK5,KW!$A$153:$AR$153))</f>
        <v>#N/A</v>
      </c>
      <c r="AJ5" s="1712"/>
      <c r="AK5" s="1874" t="str">
        <f>IF(C5="","",VLOOKUP(C5,Database!$AD$37:$AO$45,12,FALSE))</f>
        <v/>
      </c>
      <c r="AL5" s="1874"/>
      <c r="AM5" s="1874"/>
      <c r="AN5" s="1874" t="str">
        <f>IF(C5="","",VLOOKUP(C5,Database!$AD$37:$AO$45,5,FALSE))</f>
        <v/>
      </c>
      <c r="AO5" s="1874"/>
      <c r="AP5" s="1874"/>
    </row>
    <row r="6" spans="2:42" s="1016" customFormat="1" ht="12.95" customHeight="1" x14ac:dyDescent="0.2">
      <c r="B6" s="18" t="s">
        <v>482</v>
      </c>
      <c r="C6" s="1519"/>
      <c r="D6" s="1459"/>
      <c r="E6" s="1459"/>
      <c r="F6" s="1459"/>
      <c r="G6" s="1459"/>
      <c r="H6" s="1459"/>
      <c r="I6" s="1459"/>
      <c r="J6" s="1459"/>
      <c r="K6" s="1459"/>
      <c r="L6" s="1459"/>
      <c r="M6" s="1459"/>
      <c r="N6" s="1459"/>
      <c r="O6" s="1459"/>
      <c r="P6" s="1459"/>
      <c r="Q6" s="1459"/>
      <c r="R6" s="1459"/>
      <c r="S6" s="1459"/>
      <c r="T6" s="1459"/>
      <c r="U6" s="1460"/>
      <c r="V6" s="1552"/>
      <c r="W6" s="1553"/>
      <c r="X6" s="1554"/>
      <c r="Y6" s="1579"/>
      <c r="Z6" s="1580"/>
      <c r="AA6" s="1880"/>
      <c r="AB6" s="1803"/>
      <c r="AC6" s="1803"/>
      <c r="AD6" s="1870"/>
      <c r="AF6" s="1874" t="str">
        <f>IF(C6="","",VLOOKUP(C6,Database!$AD$37:$AE$45,2,FALSE))</f>
        <v/>
      </c>
      <c r="AG6" s="1874"/>
      <c r="AH6" s="1874"/>
      <c r="AI6" s="1712" t="e">
        <f>INDEX(KW!$A$153:$AR$161,MATCH(WallI!Y6,KW!$A$153:$A$161),MATCH(AK6,KW!$A$153:$AR$153))</f>
        <v>#N/A</v>
      </c>
      <c r="AJ6" s="1712"/>
      <c r="AK6" s="1874" t="str">
        <f>IF(C6="","",VLOOKUP(C6,Database!$AD$37:$AO$45,12,FALSE))</f>
        <v/>
      </c>
      <c r="AL6" s="1874"/>
      <c r="AM6" s="1874"/>
      <c r="AN6" s="1874" t="str">
        <f>IF(C6="","",VLOOKUP(C6,Database!$AD$37:$AO$45,5,FALSE))</f>
        <v/>
      </c>
      <c r="AO6" s="1874"/>
      <c r="AP6" s="1874"/>
    </row>
    <row r="7" spans="2:42" s="1016" customFormat="1" ht="12.95" customHeight="1" x14ac:dyDescent="0.2">
      <c r="B7" s="18" t="s">
        <v>483</v>
      </c>
      <c r="C7" s="1519"/>
      <c r="D7" s="1459"/>
      <c r="E7" s="1459"/>
      <c r="F7" s="1459"/>
      <c r="G7" s="1459"/>
      <c r="H7" s="1459"/>
      <c r="I7" s="1459"/>
      <c r="J7" s="1459"/>
      <c r="K7" s="1459"/>
      <c r="L7" s="1459"/>
      <c r="M7" s="1459"/>
      <c r="N7" s="1459"/>
      <c r="O7" s="1459"/>
      <c r="P7" s="1459"/>
      <c r="Q7" s="1459"/>
      <c r="R7" s="1459"/>
      <c r="S7" s="1459"/>
      <c r="T7" s="1459"/>
      <c r="U7" s="1460"/>
      <c r="V7" s="1552"/>
      <c r="W7" s="1553"/>
      <c r="X7" s="1554"/>
      <c r="Y7" s="1579"/>
      <c r="Z7" s="1580"/>
      <c r="AA7" s="1880"/>
      <c r="AB7" s="1803"/>
      <c r="AC7" s="1803"/>
      <c r="AD7" s="1870"/>
      <c r="AF7" s="1874" t="str">
        <f>IF(C7="","",VLOOKUP(C7,Database!$AD$37:$AE$45,2,FALSE))</f>
        <v/>
      </c>
      <c r="AG7" s="1874"/>
      <c r="AH7" s="1874"/>
      <c r="AI7" s="1712" t="e">
        <f>INDEX(KW!$A$153:$AR$161,MATCH(WallI!Y7,KW!$A$153:$A$161),MATCH(AK7,KW!$A$153:$AR$153))</f>
        <v>#N/A</v>
      </c>
      <c r="AJ7" s="1712"/>
      <c r="AK7" s="1874" t="str">
        <f>IF(C7="","",VLOOKUP(C7,Database!$AD$37:$AO$45,12,FALSE))</f>
        <v/>
      </c>
      <c r="AL7" s="1874"/>
      <c r="AM7" s="1874"/>
      <c r="AN7" s="1874" t="str">
        <f>IF(C7="","",VLOOKUP(C7,Database!$AD$37:$AO$45,5,FALSE))</f>
        <v/>
      </c>
      <c r="AO7" s="1874"/>
      <c r="AP7" s="1874"/>
    </row>
    <row r="8" spans="2:42" s="1016" customFormat="1" ht="12.95" customHeight="1" x14ac:dyDescent="0.2">
      <c r="B8" s="18" t="s">
        <v>484</v>
      </c>
      <c r="C8" s="1519"/>
      <c r="D8" s="1459"/>
      <c r="E8" s="1459"/>
      <c r="F8" s="1459"/>
      <c r="G8" s="1459"/>
      <c r="H8" s="1459"/>
      <c r="I8" s="1459"/>
      <c r="J8" s="1459"/>
      <c r="K8" s="1459"/>
      <c r="L8" s="1459"/>
      <c r="M8" s="1459"/>
      <c r="N8" s="1459"/>
      <c r="O8" s="1459"/>
      <c r="P8" s="1459"/>
      <c r="Q8" s="1459"/>
      <c r="R8" s="1459"/>
      <c r="S8" s="1459"/>
      <c r="T8" s="1459"/>
      <c r="U8" s="1460"/>
      <c r="V8" s="1552"/>
      <c r="W8" s="1553"/>
      <c r="X8" s="1554"/>
      <c r="Y8" s="1579"/>
      <c r="Z8" s="1580"/>
      <c r="AA8" s="1880"/>
      <c r="AB8" s="1803"/>
      <c r="AC8" s="1803"/>
      <c r="AD8" s="1870"/>
      <c r="AF8" s="1874" t="str">
        <f>IF(C8="","",VLOOKUP(C8,Database!$AD$37:$AE$45,2,FALSE))</f>
        <v/>
      </c>
      <c r="AG8" s="1874"/>
      <c r="AH8" s="1874"/>
      <c r="AI8" s="1712" t="e">
        <f>INDEX(KW!$A$153:$AR$161,MATCH(WallI!Y8,KW!$A$153:$A$161),MATCH(AK8,KW!$A$153:$AR$153))</f>
        <v>#N/A</v>
      </c>
      <c r="AJ8" s="1712"/>
      <c r="AK8" s="1874" t="str">
        <f>IF(C8="","",VLOOKUP(C8,Database!$AD$37:$AO$45,12,FALSE))</f>
        <v/>
      </c>
      <c r="AL8" s="1874"/>
      <c r="AM8" s="1874"/>
      <c r="AN8" s="1874" t="str">
        <f>IF(C8="","",VLOOKUP(C8,Database!$AD$37:$AO$45,5,FALSE))</f>
        <v/>
      </c>
      <c r="AO8" s="1874"/>
      <c r="AP8" s="1874"/>
    </row>
    <row r="9" spans="2:42" s="1016" customFormat="1" ht="12.95" customHeight="1" x14ac:dyDescent="0.2">
      <c r="B9" s="18" t="s">
        <v>485</v>
      </c>
      <c r="C9" s="1519"/>
      <c r="D9" s="1459"/>
      <c r="E9" s="1459"/>
      <c r="F9" s="1459"/>
      <c r="G9" s="1459"/>
      <c r="H9" s="1459"/>
      <c r="I9" s="1459"/>
      <c r="J9" s="1459"/>
      <c r="K9" s="1459"/>
      <c r="L9" s="1459"/>
      <c r="M9" s="1459"/>
      <c r="N9" s="1459"/>
      <c r="O9" s="1459"/>
      <c r="P9" s="1459"/>
      <c r="Q9" s="1459"/>
      <c r="R9" s="1459"/>
      <c r="S9" s="1459"/>
      <c r="T9" s="1459"/>
      <c r="U9" s="1460"/>
      <c r="V9" s="1552"/>
      <c r="W9" s="1553"/>
      <c r="X9" s="1554"/>
      <c r="Y9" s="1579"/>
      <c r="Z9" s="1580"/>
      <c r="AA9" s="1880"/>
      <c r="AB9" s="1803"/>
      <c r="AC9" s="1803"/>
      <c r="AD9" s="1870"/>
      <c r="AF9" s="1874" t="str">
        <f>IF(C9="","",VLOOKUP(C9,Database!$AD$37:$AE$45,2,FALSE))</f>
        <v/>
      </c>
      <c r="AG9" s="1874"/>
      <c r="AH9" s="1874"/>
      <c r="AI9" s="1712" t="e">
        <f>INDEX(KW!$A$153:$AR$161,MATCH(WallI!Y9,KW!$A$153:$A$161),MATCH(AK9,KW!$A$153:$AR$153))</f>
        <v>#N/A</v>
      </c>
      <c r="AJ9" s="1712"/>
      <c r="AK9" s="1874" t="str">
        <f>IF(C9="","",VLOOKUP(C9,Database!$AD$37:$AO$45,12,FALSE))</f>
        <v/>
      </c>
      <c r="AL9" s="1874"/>
      <c r="AM9" s="1874"/>
      <c r="AN9" s="1874" t="str">
        <f>IF(C9="","",VLOOKUP(C9,Database!$AD$37:$AO$45,5,FALSE))</f>
        <v/>
      </c>
      <c r="AO9" s="1874"/>
      <c r="AP9" s="1874"/>
    </row>
    <row r="10" spans="2:42" s="1016" customFormat="1" ht="12.95" customHeight="1" x14ac:dyDescent="0.2">
      <c r="B10" s="18" t="s">
        <v>486</v>
      </c>
      <c r="C10" s="1519"/>
      <c r="D10" s="1459"/>
      <c r="E10" s="1459"/>
      <c r="F10" s="1459"/>
      <c r="G10" s="1459"/>
      <c r="H10" s="1459"/>
      <c r="I10" s="1459"/>
      <c r="J10" s="1459"/>
      <c r="K10" s="1459"/>
      <c r="L10" s="1459"/>
      <c r="M10" s="1459"/>
      <c r="N10" s="1459"/>
      <c r="O10" s="1459"/>
      <c r="P10" s="1459"/>
      <c r="Q10" s="1459"/>
      <c r="R10" s="1459"/>
      <c r="S10" s="1459"/>
      <c r="T10" s="1459"/>
      <c r="U10" s="1460"/>
      <c r="V10" s="1552"/>
      <c r="W10" s="1553"/>
      <c r="X10" s="1554"/>
      <c r="Y10" s="1579"/>
      <c r="Z10" s="1580"/>
      <c r="AA10" s="1880"/>
      <c r="AB10" s="1803"/>
      <c r="AC10" s="1803"/>
      <c r="AD10" s="1870"/>
      <c r="AF10" s="1874" t="str">
        <f>IF(C10="","",VLOOKUP(C10,Database!$AD$37:$AE$45,2,FALSE))</f>
        <v/>
      </c>
      <c r="AG10" s="1874"/>
      <c r="AH10" s="1874"/>
      <c r="AI10" s="1712" t="e">
        <f>INDEX(KW!$A$153:$AR$161,MATCH(WallI!Y10,KW!$A$153:$A$161),MATCH(AK10,KW!$A$153:$AR$153))</f>
        <v>#N/A</v>
      </c>
      <c r="AJ10" s="1712"/>
      <c r="AK10" s="1874" t="str">
        <f>IF(C10="","",VLOOKUP(C10,Database!$AD$37:$AO$45,12,FALSE))</f>
        <v/>
      </c>
      <c r="AL10" s="1874"/>
      <c r="AM10" s="1874"/>
      <c r="AN10" s="1874" t="str">
        <f>IF(C10="","",VLOOKUP(C10,Database!$AD$37:$AO$45,5,FALSE))</f>
        <v/>
      </c>
      <c r="AO10" s="1874"/>
      <c r="AP10" s="1874"/>
    </row>
    <row r="11" spans="2:42" s="1016" customFormat="1" ht="12.95" customHeight="1" x14ac:dyDescent="0.2">
      <c r="B11" s="18" t="s">
        <v>487</v>
      </c>
      <c r="C11" s="1519"/>
      <c r="D11" s="1459"/>
      <c r="E11" s="1459"/>
      <c r="F11" s="1459"/>
      <c r="G11" s="1459"/>
      <c r="H11" s="1459"/>
      <c r="I11" s="1459"/>
      <c r="J11" s="1459"/>
      <c r="K11" s="1459"/>
      <c r="L11" s="1459"/>
      <c r="M11" s="1459"/>
      <c r="N11" s="1459"/>
      <c r="O11" s="1459"/>
      <c r="P11" s="1459"/>
      <c r="Q11" s="1459"/>
      <c r="R11" s="1459"/>
      <c r="S11" s="1459"/>
      <c r="T11" s="1459"/>
      <c r="U11" s="1460"/>
      <c r="V11" s="1552"/>
      <c r="W11" s="1553"/>
      <c r="X11" s="1554"/>
      <c r="Y11" s="1579"/>
      <c r="Z11" s="1580"/>
      <c r="AA11" s="1880"/>
      <c r="AB11" s="1803"/>
      <c r="AC11" s="1803"/>
      <c r="AD11" s="1870"/>
      <c r="AF11" s="1874" t="str">
        <f>IF(C11="","",VLOOKUP(C11,Database!$AD$37:$AE$45,2,FALSE))</f>
        <v/>
      </c>
      <c r="AG11" s="1874"/>
      <c r="AH11" s="1874"/>
      <c r="AI11" s="1712" t="e">
        <f>INDEX(KW!$A$153:$AR$161,MATCH(WallI!Y11,KW!$A$153:$A$161),MATCH(AK11,KW!$A$153:$AR$153))</f>
        <v>#N/A</v>
      </c>
      <c r="AJ11" s="1712"/>
      <c r="AK11" s="1874" t="str">
        <f>IF(C11="","",VLOOKUP(C11,Database!$AD$37:$AO$45,12,FALSE))</f>
        <v/>
      </c>
      <c r="AL11" s="1874"/>
      <c r="AM11" s="1874"/>
      <c r="AN11" s="1874" t="str">
        <f>IF(C11="","",VLOOKUP(C11,Database!$AD$37:$AO$45,5,FALSE))</f>
        <v/>
      </c>
      <c r="AO11" s="1874"/>
      <c r="AP11" s="1874"/>
    </row>
    <row r="12" spans="2:42" s="1016" customFormat="1" ht="12.95" customHeight="1" thickBot="1" x14ac:dyDescent="0.25">
      <c r="B12" s="18" t="s">
        <v>488</v>
      </c>
      <c r="C12" s="1530"/>
      <c r="D12" s="1531"/>
      <c r="E12" s="1531"/>
      <c r="F12" s="1531"/>
      <c r="G12" s="1531"/>
      <c r="H12" s="1531"/>
      <c r="I12" s="1531"/>
      <c r="J12" s="1531"/>
      <c r="K12" s="1531"/>
      <c r="L12" s="1531"/>
      <c r="M12" s="1531"/>
      <c r="N12" s="1531"/>
      <c r="O12" s="1531"/>
      <c r="P12" s="1531"/>
      <c r="Q12" s="1531"/>
      <c r="R12" s="1531"/>
      <c r="S12" s="1531"/>
      <c r="T12" s="1531"/>
      <c r="U12" s="1532"/>
      <c r="V12" s="1549"/>
      <c r="W12" s="1550"/>
      <c r="X12" s="1551"/>
      <c r="Y12" s="1881"/>
      <c r="Z12" s="1882"/>
      <c r="AA12" s="1883"/>
      <c r="AB12" s="1884"/>
      <c r="AC12" s="1884"/>
      <c r="AD12" s="1885"/>
      <c r="AF12" s="1874" t="str">
        <f>IF(C12="","",VLOOKUP(C12,Database!$AD$37:$AE$45,2,FALSE))</f>
        <v/>
      </c>
      <c r="AG12" s="1874"/>
      <c r="AH12" s="1874"/>
      <c r="AI12" s="1712" t="e">
        <f>INDEX(KW!$A$153:$AR$161,MATCH(WallI!Y12,KW!$A$153:$A$161),MATCH(AK12,KW!$A$153:$AR$153))</f>
        <v>#N/A</v>
      </c>
      <c r="AJ12" s="1712"/>
      <c r="AK12" s="1874" t="str">
        <f>IF(C12="","",VLOOKUP(C12,Database!$AD$37:$AO$45,12,FALSE))</f>
        <v/>
      </c>
      <c r="AL12" s="1874"/>
      <c r="AM12" s="1874"/>
      <c r="AN12" s="1874" t="str">
        <f>IF(C12="","",VLOOKUP(C12,Database!$AD$37:$AO$45,5,FALSE))</f>
        <v/>
      </c>
      <c r="AO12" s="1874"/>
      <c r="AP12" s="1874"/>
    </row>
    <row r="13" spans="2:42" s="1016" customFormat="1" ht="12.95" customHeight="1" thickBot="1" x14ac:dyDescent="0.25">
      <c r="C13" s="1533" t="s">
        <v>2431</v>
      </c>
      <c r="D13" s="1534"/>
      <c r="E13" s="1534"/>
      <c r="F13" s="1534"/>
      <c r="G13" s="1534"/>
      <c r="H13" s="1534"/>
      <c r="I13" s="1534"/>
      <c r="J13" s="1534"/>
      <c r="K13" s="1534"/>
      <c r="L13" s="1534"/>
      <c r="M13" s="1534"/>
      <c r="N13" s="1534"/>
      <c r="O13" s="1534"/>
      <c r="P13" s="1534"/>
      <c r="Q13" s="1534"/>
      <c r="R13" s="1534"/>
      <c r="S13" s="1534"/>
      <c r="T13" s="1534"/>
      <c r="U13" s="1534"/>
      <c r="V13" s="1534"/>
      <c r="W13" s="1534"/>
      <c r="X13" s="1534"/>
      <c r="Y13" s="1534"/>
      <c r="Z13" s="1534"/>
      <c r="AA13" s="1534"/>
      <c r="AB13" s="1534"/>
      <c r="AC13" s="1534"/>
      <c r="AD13" s="1535"/>
    </row>
    <row r="14" spans="2:42" s="1016" customFormat="1" ht="12.95" customHeight="1" x14ac:dyDescent="0.2">
      <c r="C14" s="1740" t="s">
        <v>2507</v>
      </c>
      <c r="D14" s="1726"/>
      <c r="E14" s="1726"/>
      <c r="F14" s="1726"/>
      <c r="G14" s="1726"/>
      <c r="H14" s="1726"/>
      <c r="I14" s="1726"/>
      <c r="J14" s="1726"/>
      <c r="K14" s="1726"/>
      <c r="L14" s="1726"/>
      <c r="M14" s="1726"/>
      <c r="N14" s="1726"/>
      <c r="O14" s="1726"/>
      <c r="P14" s="1726"/>
      <c r="Q14" s="1726"/>
      <c r="R14" s="1726"/>
      <c r="S14" s="1726"/>
      <c r="T14" s="1726"/>
      <c r="U14" s="1727"/>
      <c r="V14" s="1851" t="s">
        <v>1427</v>
      </c>
      <c r="W14" s="1852"/>
      <c r="X14" s="1852"/>
      <c r="Y14" s="1725" t="s">
        <v>4166</v>
      </c>
      <c r="Z14" s="1726"/>
      <c r="AA14" s="1727"/>
      <c r="AB14" s="1725" t="s">
        <v>2570</v>
      </c>
      <c r="AC14" s="1726"/>
      <c r="AD14" s="1868"/>
    </row>
    <row r="15" spans="2:42" s="1016" customFormat="1" ht="12.95" customHeight="1" x14ac:dyDescent="0.2">
      <c r="C15" s="1744"/>
      <c r="D15" s="1729"/>
      <c r="E15" s="1729"/>
      <c r="F15" s="1729"/>
      <c r="G15" s="1729"/>
      <c r="H15" s="1729"/>
      <c r="I15" s="1729"/>
      <c r="J15" s="1729"/>
      <c r="K15" s="1729"/>
      <c r="L15" s="1729"/>
      <c r="M15" s="1729"/>
      <c r="N15" s="1729"/>
      <c r="O15" s="1729"/>
      <c r="P15" s="1729"/>
      <c r="Q15" s="1729"/>
      <c r="R15" s="1729"/>
      <c r="S15" s="1729"/>
      <c r="T15" s="1729"/>
      <c r="U15" s="1730"/>
      <c r="V15" s="1544" t="s">
        <v>729</v>
      </c>
      <c r="W15" s="1544"/>
      <c r="X15" s="1523"/>
      <c r="Y15" s="1728"/>
      <c r="Z15" s="1729"/>
      <c r="AA15" s="1730"/>
      <c r="AB15" s="1728"/>
      <c r="AC15" s="1729"/>
      <c r="AD15" s="1869"/>
      <c r="AF15" s="1724" t="s">
        <v>3497</v>
      </c>
      <c r="AG15" s="1724"/>
      <c r="AH15" s="1724"/>
    </row>
    <row r="16" spans="2:42" s="1016" customFormat="1" ht="12.95" customHeight="1" x14ac:dyDescent="0.2">
      <c r="B16" s="18" t="s">
        <v>978</v>
      </c>
      <c r="C16" s="1866"/>
      <c r="D16" s="1867"/>
      <c r="E16" s="1867"/>
      <c r="F16" s="1867"/>
      <c r="G16" s="1867"/>
      <c r="H16" s="1867"/>
      <c r="I16" s="1867"/>
      <c r="J16" s="1867"/>
      <c r="K16" s="1867"/>
      <c r="L16" s="1867"/>
      <c r="M16" s="1867"/>
      <c r="N16" s="1867"/>
      <c r="O16" s="1867"/>
      <c r="P16" s="1867"/>
      <c r="Q16" s="1867"/>
      <c r="R16" s="1867"/>
      <c r="S16" s="1867"/>
      <c r="T16" s="1867"/>
      <c r="U16" s="1867"/>
      <c r="V16" s="1803"/>
      <c r="W16" s="1803"/>
      <c r="X16" s="1803"/>
      <c r="Y16" s="1875"/>
      <c r="Z16" s="1875"/>
      <c r="AA16" s="1875"/>
      <c r="AB16" s="1875"/>
      <c r="AC16" s="1875"/>
      <c r="AD16" s="1876"/>
      <c r="AF16" s="1874" t="str">
        <f>IF(C16="","",VLOOKUP(C16,Database!$AD$37:$AE$45,2,FALSE))</f>
        <v/>
      </c>
      <c r="AG16" s="1874"/>
      <c r="AH16" s="1874"/>
    </row>
    <row r="17" spans="2:34" s="1016" customFormat="1" ht="12.95" customHeight="1" x14ac:dyDescent="0.2">
      <c r="B17" s="18" t="s">
        <v>979</v>
      </c>
      <c r="C17" s="1866"/>
      <c r="D17" s="1867"/>
      <c r="E17" s="1867"/>
      <c r="F17" s="1867"/>
      <c r="G17" s="1867"/>
      <c r="H17" s="1867"/>
      <c r="I17" s="1867"/>
      <c r="J17" s="1867"/>
      <c r="K17" s="1867"/>
      <c r="L17" s="1867"/>
      <c r="M17" s="1867"/>
      <c r="N17" s="1867"/>
      <c r="O17" s="1867"/>
      <c r="P17" s="1867"/>
      <c r="Q17" s="1867"/>
      <c r="R17" s="1867"/>
      <c r="S17" s="1867"/>
      <c r="T17" s="1867"/>
      <c r="U17" s="1867"/>
      <c r="V17" s="1803"/>
      <c r="W17" s="1803"/>
      <c r="X17" s="1803"/>
      <c r="Y17" s="1875"/>
      <c r="Z17" s="1875"/>
      <c r="AA17" s="1875"/>
      <c r="AB17" s="1875"/>
      <c r="AC17" s="1875"/>
      <c r="AD17" s="1876"/>
      <c r="AF17" s="1874" t="str">
        <f>IF(C17="","",VLOOKUP(C17,Database!$AD$37:$AE$45,2,FALSE))</f>
        <v/>
      </c>
      <c r="AG17" s="1874"/>
      <c r="AH17" s="1874"/>
    </row>
    <row r="18" spans="2:34" s="1016" customFormat="1" ht="12.95" customHeight="1" thickBot="1" x14ac:dyDescent="0.25">
      <c r="C18" s="1877" t="s">
        <v>3405</v>
      </c>
      <c r="D18" s="1878"/>
      <c r="E18" s="1878"/>
      <c r="F18" s="1878"/>
      <c r="G18" s="1878"/>
      <c r="H18" s="1878"/>
      <c r="I18" s="1878"/>
      <c r="J18" s="1878"/>
      <c r="K18" s="1878"/>
      <c r="L18" s="1878"/>
      <c r="M18" s="1878"/>
      <c r="N18" s="1878"/>
      <c r="O18" s="1878"/>
      <c r="P18" s="1878"/>
      <c r="Q18" s="1878"/>
      <c r="R18" s="1878"/>
      <c r="S18" s="1878"/>
      <c r="T18" s="1878"/>
      <c r="U18" s="1878"/>
      <c r="V18" s="1878"/>
      <c r="W18" s="1878"/>
      <c r="X18" s="1878"/>
      <c r="Y18" s="1878"/>
      <c r="Z18" s="1878"/>
      <c r="AA18" s="1878"/>
      <c r="AB18" s="1878"/>
      <c r="AC18" s="1878"/>
      <c r="AD18" s="1879"/>
    </row>
  </sheetData>
  <sheetProtection algorithmName="SHA-512" hashValue="G/pFtO/CM4MrNDimgd3hHLLFAcPkU28ST5zjCac4n2gO7d8ii1zXY69Ou55UjUwAShTRtSUCOcSCfGMHRmRI+g==" saltValue="tSeapXy5wWm8OTT5j2swyQ==" spinCount="100000" sheet="1" objects="1" scenarios="1"/>
  <mergeCells count="92">
    <mergeCell ref="V11:X11"/>
    <mergeCell ref="Y11:AA11"/>
    <mergeCell ref="AB11:AD11"/>
    <mergeCell ref="AF12:AH12"/>
    <mergeCell ref="V12:X12"/>
    <mergeCell ref="Y12:AA12"/>
    <mergeCell ref="AB12:AD12"/>
    <mergeCell ref="AF11:AH11"/>
    <mergeCell ref="AB8:AD8"/>
    <mergeCell ref="AF6:AH6"/>
    <mergeCell ref="V6:X6"/>
    <mergeCell ref="C11:U11"/>
    <mergeCell ref="C12:U12"/>
    <mergeCell ref="Y6:AA6"/>
    <mergeCell ref="Y7:AA7"/>
    <mergeCell ref="AB7:AD7"/>
    <mergeCell ref="AF9:AH9"/>
    <mergeCell ref="C10:U10"/>
    <mergeCell ref="AF10:AH10"/>
    <mergeCell ref="V10:X10"/>
    <mergeCell ref="Y10:AA10"/>
    <mergeCell ref="AB10:AD10"/>
    <mergeCell ref="C7:U7"/>
    <mergeCell ref="AF7:AH7"/>
    <mergeCell ref="Y5:AA5"/>
    <mergeCell ref="C3:U4"/>
    <mergeCell ref="Y3:AA4"/>
    <mergeCell ref="V3:X3"/>
    <mergeCell ref="Y8:AA8"/>
    <mergeCell ref="V7:X7"/>
    <mergeCell ref="V8:X8"/>
    <mergeCell ref="AB5:AD5"/>
    <mergeCell ref="AN11:AP11"/>
    <mergeCell ref="C2:AD2"/>
    <mergeCell ref="C18:AD18"/>
    <mergeCell ref="AB6:AD6"/>
    <mergeCell ref="Y9:AA9"/>
    <mergeCell ref="C6:U6"/>
    <mergeCell ref="AB3:AD4"/>
    <mergeCell ref="C8:U8"/>
    <mergeCell ref="C9:U9"/>
    <mergeCell ref="V9:X9"/>
    <mergeCell ref="AB9:AD9"/>
    <mergeCell ref="V4:X4"/>
    <mergeCell ref="C5:U5"/>
    <mergeCell ref="AF5:AH5"/>
    <mergeCell ref="V5:X5"/>
    <mergeCell ref="AF4:AH4"/>
    <mergeCell ref="AN7:AP7"/>
    <mergeCell ref="AN8:AP8"/>
    <mergeCell ref="AN4:AP4"/>
    <mergeCell ref="AN5:AP5"/>
    <mergeCell ref="AN6:AP6"/>
    <mergeCell ref="AK8:AM8"/>
    <mergeCell ref="AF8:AH8"/>
    <mergeCell ref="AI11:AJ11"/>
    <mergeCell ref="AK9:AM9"/>
    <mergeCell ref="AK10:AM10"/>
    <mergeCell ref="AK11:AM11"/>
    <mergeCell ref="AK12:AM12"/>
    <mergeCell ref="AB16:AD16"/>
    <mergeCell ref="AN9:AP9"/>
    <mergeCell ref="AI7:AJ7"/>
    <mergeCell ref="AI8:AJ8"/>
    <mergeCell ref="AK4:AM4"/>
    <mergeCell ref="AI4:AJ4"/>
    <mergeCell ref="AI5:AJ5"/>
    <mergeCell ref="AI6:AJ6"/>
    <mergeCell ref="AK5:AM5"/>
    <mergeCell ref="AK6:AM6"/>
    <mergeCell ref="AK7:AM7"/>
    <mergeCell ref="AN10:AP10"/>
    <mergeCell ref="AN12:AP12"/>
    <mergeCell ref="AI12:AJ12"/>
    <mergeCell ref="AI9:AJ9"/>
    <mergeCell ref="AI10:AJ10"/>
    <mergeCell ref="C13:AD13"/>
    <mergeCell ref="AF16:AH16"/>
    <mergeCell ref="AF17:AH17"/>
    <mergeCell ref="C17:U17"/>
    <mergeCell ref="V17:X17"/>
    <mergeCell ref="Y17:AA17"/>
    <mergeCell ref="AB17:AD17"/>
    <mergeCell ref="AF15:AH15"/>
    <mergeCell ref="C14:U15"/>
    <mergeCell ref="Y14:AA15"/>
    <mergeCell ref="V14:X14"/>
    <mergeCell ref="AB14:AD15"/>
    <mergeCell ref="V15:X15"/>
    <mergeCell ref="C16:U16"/>
    <mergeCell ref="Y16:AA16"/>
    <mergeCell ref="V16:X16"/>
  </mergeCells>
  <phoneticPr fontId="2" type="noConversion"/>
  <dataValidations count="3">
    <dataValidation type="list" allowBlank="1" showInputMessage="1" showErrorMessage="1" sqref="AB5:AB12" xr:uid="{00000000-0002-0000-0E00-000000000000}">
      <formula1>Color_Adjust_Wall</formula1>
    </dataValidation>
    <dataValidation type="list" allowBlank="1" showInputMessage="1" showErrorMessage="1" sqref="C16:U17 C5:U12" xr:uid="{00000000-0002-0000-0E00-000001000000}">
      <formula1>Walls_Data2</formula1>
    </dataValidation>
    <dataValidation type="list" allowBlank="1" showInputMessage="1" showErrorMessage="1" sqref="Y5:AA12" xr:uid="{00000000-0002-0000-0E00-000002000000}">
      <formula1>Glass_Direction</formula1>
    </dataValidation>
  </dataValidations>
  <hyperlinks>
    <hyperlink ref="C18:X18" location="Dashboard" display="► Return to Dashboard" xr:uid="{00000000-0004-0000-0E00-000000000000}"/>
    <hyperlink ref="C18:AD18" location="N1_Walls" display="► Return to Dashboard" xr:uid="{00000000-0004-0000-0E00-000001000000}"/>
  </hyperlinks>
  <pageMargins left="0.75" right="0.75" top="1" bottom="1" header="0.5" footer="0.5"/>
  <headerFooter alignWithMargins="0"/>
  <customProperties>
    <customPr name="SSCSheetTrackingNo" r:id="rId1"/>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7">
    <tabColor indexed="15"/>
  </sheetPr>
  <dimension ref="B1:AP7"/>
  <sheetViews>
    <sheetView showRowColHeaders="0" workbookViewId="0">
      <selection activeCell="C4" sqref="C4:U4"/>
    </sheetView>
  </sheetViews>
  <sheetFormatPr defaultColWidth="2.7109375" defaultRowHeight="12.95" customHeight="1" x14ac:dyDescent="0.2"/>
  <cols>
    <col min="1" max="28" width="2.7109375" style="977" customWidth="1"/>
    <col min="29" max="42" width="2.7109375" style="977" hidden="1" customWidth="1"/>
    <col min="43" max="16384" width="2.7109375" style="977"/>
  </cols>
  <sheetData>
    <row r="1" spans="2:42" ht="12.95" customHeight="1" thickBot="1" x14ac:dyDescent="0.25"/>
    <row r="2" spans="2:42" s="1016" customFormat="1" ht="12.95" customHeight="1" thickBot="1" x14ac:dyDescent="0.25">
      <c r="C2" s="1533" t="s">
        <v>1538</v>
      </c>
      <c r="D2" s="1534"/>
      <c r="E2" s="1534"/>
      <c r="F2" s="1534"/>
      <c r="G2" s="1534"/>
      <c r="H2" s="1534"/>
      <c r="I2" s="1534"/>
      <c r="J2" s="1534"/>
      <c r="K2" s="1534"/>
      <c r="L2" s="1534"/>
      <c r="M2" s="1534"/>
      <c r="N2" s="1534"/>
      <c r="O2" s="1534"/>
      <c r="P2" s="1534"/>
      <c r="Q2" s="1534"/>
      <c r="R2" s="1534"/>
      <c r="S2" s="1534"/>
      <c r="T2" s="1534"/>
      <c r="U2" s="1534"/>
      <c r="V2" s="1534"/>
      <c r="W2" s="1534"/>
      <c r="X2" s="1534"/>
      <c r="Y2" s="1534"/>
      <c r="Z2" s="1534"/>
      <c r="AA2" s="1535"/>
      <c r="AF2" s="1889"/>
      <c r="AG2" s="1889"/>
    </row>
    <row r="3" spans="2:42" s="1016" customFormat="1" ht="12.95" customHeight="1" x14ac:dyDescent="0.2">
      <c r="C3" s="1891" t="s">
        <v>2507</v>
      </c>
      <c r="D3" s="1574"/>
      <c r="E3" s="1574"/>
      <c r="F3" s="1574"/>
      <c r="G3" s="1574"/>
      <c r="H3" s="1574"/>
      <c r="I3" s="1574"/>
      <c r="J3" s="1574"/>
      <c r="K3" s="1574"/>
      <c r="L3" s="1574"/>
      <c r="M3" s="1574"/>
      <c r="N3" s="1574"/>
      <c r="O3" s="1574"/>
      <c r="P3" s="1574"/>
      <c r="Q3" s="1574"/>
      <c r="R3" s="1574"/>
      <c r="S3" s="1574"/>
      <c r="T3" s="1574"/>
      <c r="U3" s="1892"/>
      <c r="V3" s="1890" t="s">
        <v>729</v>
      </c>
      <c r="W3" s="1890"/>
      <c r="X3" s="1890"/>
      <c r="Y3" s="1555" t="s">
        <v>3493</v>
      </c>
      <c r="Z3" s="1556"/>
      <c r="AA3" s="1563"/>
      <c r="AC3" s="1724" t="s">
        <v>3497</v>
      </c>
      <c r="AD3" s="1724"/>
      <c r="AE3" s="1724"/>
      <c r="AF3" s="1724" t="s">
        <v>3500</v>
      </c>
      <c r="AG3" s="1724"/>
      <c r="AH3" s="1555" t="s">
        <v>2838</v>
      </c>
      <c r="AI3" s="1556"/>
      <c r="AJ3" s="1557"/>
      <c r="AK3" s="1555" t="s">
        <v>3493</v>
      </c>
      <c r="AL3" s="1556"/>
      <c r="AM3" s="1557"/>
      <c r="AN3" s="1555" t="s">
        <v>1519</v>
      </c>
      <c r="AO3" s="1556"/>
      <c r="AP3" s="1557"/>
    </row>
    <row r="4" spans="2:42" s="1016" customFormat="1" ht="12.95" customHeight="1" x14ac:dyDescent="0.2">
      <c r="B4" s="18" t="s">
        <v>481</v>
      </c>
      <c r="C4" s="1519"/>
      <c r="D4" s="1459"/>
      <c r="E4" s="1459"/>
      <c r="F4" s="1459"/>
      <c r="G4" s="1459"/>
      <c r="H4" s="1459"/>
      <c r="I4" s="1459"/>
      <c r="J4" s="1459"/>
      <c r="K4" s="1459"/>
      <c r="L4" s="1459"/>
      <c r="M4" s="1459"/>
      <c r="N4" s="1459"/>
      <c r="O4" s="1459"/>
      <c r="P4" s="1459"/>
      <c r="Q4" s="1459"/>
      <c r="R4" s="1459"/>
      <c r="S4" s="1459"/>
      <c r="T4" s="1459"/>
      <c r="U4" s="1460"/>
      <c r="V4" s="1552"/>
      <c r="W4" s="1553"/>
      <c r="X4" s="1554"/>
      <c r="Y4" s="1803" t="s">
        <v>3789</v>
      </c>
      <c r="Z4" s="1803"/>
      <c r="AA4" s="1870"/>
      <c r="AC4" s="1874" t="str">
        <f>IF(C4="","",VLOOKUP(C4,Database!$AD$49:$AG$57,2,FALSE))</f>
        <v/>
      </c>
      <c r="AD4" s="1874"/>
      <c r="AE4" s="1874"/>
      <c r="AF4" s="1712" t="str">
        <f>IF(C4="","",VLOOKUP(AH4,KW!$A$184:$E$223,KW!$A$183,FALSE))</f>
        <v/>
      </c>
      <c r="AG4" s="1712"/>
      <c r="AH4" s="1874" t="str">
        <f>IF(C4="","",VLOOKUP(C4,Database!$AD$49:$AO$57,12,FALSE))</f>
        <v/>
      </c>
      <c r="AI4" s="1874"/>
      <c r="AJ4" s="1874"/>
      <c r="AK4" s="1704" t="str">
        <f>IF(C4="","",VLOOKUP(Y4,KW!$A$164:$B$166,2))</f>
        <v/>
      </c>
      <c r="AL4" s="1704"/>
      <c r="AM4" s="1704"/>
      <c r="AN4" s="1886" t="str">
        <f>IF(C4="","",VLOOKUP(C4,Database!$AD$49:$AQ$57,14,FALSE))</f>
        <v/>
      </c>
      <c r="AO4" s="1886"/>
      <c r="AP4" s="1886"/>
    </row>
    <row r="5" spans="2:42" s="1016" customFormat="1" ht="12.95" customHeight="1" x14ac:dyDescent="0.2">
      <c r="B5" s="18" t="s">
        <v>482</v>
      </c>
      <c r="C5" s="1519"/>
      <c r="D5" s="1459"/>
      <c r="E5" s="1459"/>
      <c r="F5" s="1459"/>
      <c r="G5" s="1459"/>
      <c r="H5" s="1459"/>
      <c r="I5" s="1459"/>
      <c r="J5" s="1459"/>
      <c r="K5" s="1459"/>
      <c r="L5" s="1459"/>
      <c r="M5" s="1459"/>
      <c r="N5" s="1459"/>
      <c r="O5" s="1459"/>
      <c r="P5" s="1459"/>
      <c r="Q5" s="1459"/>
      <c r="R5" s="1459"/>
      <c r="S5" s="1459"/>
      <c r="T5" s="1459"/>
      <c r="U5" s="1460"/>
      <c r="V5" s="1552"/>
      <c r="W5" s="1553"/>
      <c r="X5" s="1554"/>
      <c r="Y5" s="1803"/>
      <c r="Z5" s="1803"/>
      <c r="AA5" s="1870"/>
      <c r="AC5" s="1874" t="str">
        <f>IF(C5="","",VLOOKUP(C5,Database!$AD$49:$AG$57,2,FALSE))</f>
        <v/>
      </c>
      <c r="AD5" s="1874"/>
      <c r="AE5" s="1874"/>
      <c r="AF5" s="1712" t="str">
        <f>IF(C5="","",VLOOKUP(AH5,KW!$A$184:$E$223,KW!$A$183,FALSE))</f>
        <v/>
      </c>
      <c r="AG5" s="1712"/>
      <c r="AH5" s="1874" t="str">
        <f>IF(C5="","",VLOOKUP(C5,Database!$AD$49:$AO$57,12,FALSE))</f>
        <v/>
      </c>
      <c r="AI5" s="1874"/>
      <c r="AJ5" s="1874"/>
      <c r="AK5" s="1704" t="str">
        <f>IF(C5="","",VLOOKUP(Y5,KW!$A$164:$B$166,2))</f>
        <v/>
      </c>
      <c r="AL5" s="1704"/>
      <c r="AM5" s="1704"/>
      <c r="AN5" s="1886" t="str">
        <f>IF(C5="","",VLOOKUP(C5,Database!$AD$49:$AQ$57,14,FALSE))</f>
        <v/>
      </c>
      <c r="AO5" s="1886"/>
      <c r="AP5" s="1886"/>
    </row>
    <row r="6" spans="2:42" s="1016" customFormat="1" ht="12.95" customHeight="1" thickBot="1" x14ac:dyDescent="0.25">
      <c r="B6" s="18" t="s">
        <v>483</v>
      </c>
      <c r="C6" s="1530"/>
      <c r="D6" s="1531"/>
      <c r="E6" s="1531"/>
      <c r="F6" s="1531"/>
      <c r="G6" s="1531"/>
      <c r="H6" s="1531"/>
      <c r="I6" s="1531"/>
      <c r="J6" s="1531"/>
      <c r="K6" s="1531"/>
      <c r="L6" s="1531"/>
      <c r="M6" s="1531"/>
      <c r="N6" s="1531"/>
      <c r="O6" s="1531"/>
      <c r="P6" s="1531"/>
      <c r="Q6" s="1531"/>
      <c r="R6" s="1531"/>
      <c r="S6" s="1531"/>
      <c r="T6" s="1531"/>
      <c r="U6" s="1532"/>
      <c r="V6" s="1552"/>
      <c r="W6" s="1553"/>
      <c r="X6" s="1554"/>
      <c r="Y6" s="1803"/>
      <c r="Z6" s="1803"/>
      <c r="AA6" s="1870"/>
      <c r="AC6" s="1874" t="str">
        <f>IF(C6="","",VLOOKUP(C6,Database!$AD$49:$AG$57,2,FALSE))</f>
        <v/>
      </c>
      <c r="AD6" s="1874"/>
      <c r="AE6" s="1874"/>
      <c r="AF6" s="1712" t="str">
        <f>IF(C6="","",VLOOKUP(AH6,KW!$A$184:$E$223,KW!$A$183,FALSE))</f>
        <v/>
      </c>
      <c r="AG6" s="1712"/>
      <c r="AH6" s="1874" t="str">
        <f>IF(C6="","",VLOOKUP(C6,Database!$AD$49:$AO$57,12,FALSE))</f>
        <v/>
      </c>
      <c r="AI6" s="1874"/>
      <c r="AJ6" s="1874"/>
      <c r="AK6" s="1704" t="str">
        <f>IF(C6="","",VLOOKUP(Y6,KW!$A$164:$B$166,2))</f>
        <v/>
      </c>
      <c r="AL6" s="1704"/>
      <c r="AM6" s="1704"/>
      <c r="AN6" s="1886" t="str">
        <f>IF(C6="","",VLOOKUP(C6,Database!$AD$49:$AQ$57,14,FALSE))</f>
        <v/>
      </c>
      <c r="AO6" s="1886"/>
      <c r="AP6" s="1886"/>
    </row>
    <row r="7" spans="2:42" s="1016" customFormat="1" ht="12.95" customHeight="1" thickBot="1" x14ac:dyDescent="0.25">
      <c r="C7" s="1804" t="s">
        <v>3406</v>
      </c>
      <c r="D7" s="1887"/>
      <c r="E7" s="1887"/>
      <c r="F7" s="1887"/>
      <c r="G7" s="1887"/>
      <c r="H7" s="1887"/>
      <c r="I7" s="1887"/>
      <c r="J7" s="1887"/>
      <c r="K7" s="1887"/>
      <c r="L7" s="1887"/>
      <c r="M7" s="1887"/>
      <c r="N7" s="1887"/>
      <c r="O7" s="1887"/>
      <c r="P7" s="1887"/>
      <c r="Q7" s="1887"/>
      <c r="R7" s="1887"/>
      <c r="S7" s="1887"/>
      <c r="T7" s="1887"/>
      <c r="U7" s="1887"/>
      <c r="V7" s="1887"/>
      <c r="W7" s="1887"/>
      <c r="X7" s="1887"/>
      <c r="Y7" s="1887"/>
      <c r="Z7" s="1887"/>
      <c r="AA7" s="1888"/>
    </row>
  </sheetData>
  <sheetProtection password="CA39" sheet="1" objects="1" scenarios="1"/>
  <mergeCells count="35">
    <mergeCell ref="AH5:AJ5"/>
    <mergeCell ref="AH4:AJ4"/>
    <mergeCell ref="V6:X6"/>
    <mergeCell ref="C3:U3"/>
    <mergeCell ref="AC4:AE4"/>
    <mergeCell ref="C4:U4"/>
    <mergeCell ref="V4:X4"/>
    <mergeCell ref="Y4:AA4"/>
    <mergeCell ref="AH3:AJ3"/>
    <mergeCell ref="AH6:AJ6"/>
    <mergeCell ref="AF4:AG4"/>
    <mergeCell ref="C2:AA2"/>
    <mergeCell ref="AF6:AG6"/>
    <mergeCell ref="AF5:AG5"/>
    <mergeCell ref="C7:AA7"/>
    <mergeCell ref="C6:U6"/>
    <mergeCell ref="AF2:AG2"/>
    <mergeCell ref="AC5:AE5"/>
    <mergeCell ref="AF3:AG3"/>
    <mergeCell ref="Y6:AA6"/>
    <mergeCell ref="AC6:AE6"/>
    <mergeCell ref="V3:X3"/>
    <mergeCell ref="Y3:AA3"/>
    <mergeCell ref="AC3:AE3"/>
    <mergeCell ref="C5:U5"/>
    <mergeCell ref="V5:X5"/>
    <mergeCell ref="Y5:AA5"/>
    <mergeCell ref="AN6:AP6"/>
    <mergeCell ref="AK4:AM4"/>
    <mergeCell ref="AK3:AM3"/>
    <mergeCell ref="AN4:AP4"/>
    <mergeCell ref="AN5:AP5"/>
    <mergeCell ref="AN3:AP3"/>
    <mergeCell ref="AK6:AM6"/>
    <mergeCell ref="AK5:AM5"/>
  </mergeCells>
  <phoneticPr fontId="2" type="noConversion"/>
  <dataValidations count="2">
    <dataValidation type="list" allowBlank="1" showInputMessage="1" showErrorMessage="1" sqref="C4:C6 D4:U5" xr:uid="{00000000-0002-0000-0F00-000000000000}">
      <formula1>Ceilings_Data2</formula1>
    </dataValidation>
    <dataValidation type="list" allowBlank="1" showInputMessage="1" showErrorMessage="1" sqref="Y4:Y6" xr:uid="{00000000-0002-0000-0F00-000001000000}">
      <formula1>Color_Adjust_Wall</formula1>
    </dataValidation>
  </dataValidations>
  <hyperlinks>
    <hyperlink ref="C7:AA7" location="N1_Ceilings" display="► Return to Dashboard" xr:uid="{00000000-0004-0000-0F00-000000000000}"/>
  </hyperlinks>
  <pageMargins left="0.75" right="0.75" top="1" bottom="1" header="0.5" footer="0.5"/>
  <headerFooter alignWithMargins="0"/>
  <customProperties>
    <customPr name="SSCSheetTrackingNo" r:id="rId1"/>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8">
    <tabColor indexed="15"/>
  </sheetPr>
  <dimension ref="B1:AN14"/>
  <sheetViews>
    <sheetView showRowColHeaders="0" workbookViewId="0">
      <selection activeCell="C13" sqref="C13:U13"/>
    </sheetView>
  </sheetViews>
  <sheetFormatPr defaultColWidth="2.7109375" defaultRowHeight="12.95" customHeight="1" x14ac:dyDescent="0.2"/>
  <cols>
    <col min="1" max="27" width="2.7109375" style="977" customWidth="1"/>
    <col min="28" max="39" width="2.7109375" style="977" hidden="1" customWidth="1"/>
    <col min="40" max="40" width="6.85546875" style="977" hidden="1" customWidth="1"/>
    <col min="41" max="16384" width="2.7109375" style="977"/>
  </cols>
  <sheetData>
    <row r="1" spans="2:40" s="1016" customFormat="1" ht="12.95" customHeight="1" thickBot="1" x14ac:dyDescent="0.25"/>
    <row r="2" spans="2:40" s="1016" customFormat="1" ht="12.95" customHeight="1" thickBot="1" x14ac:dyDescent="0.25">
      <c r="C2" s="1533" t="s">
        <v>1539</v>
      </c>
      <c r="D2" s="1534"/>
      <c r="E2" s="1534"/>
      <c r="F2" s="1534"/>
      <c r="G2" s="1534"/>
      <c r="H2" s="1534"/>
      <c r="I2" s="1534"/>
      <c r="J2" s="1534"/>
      <c r="K2" s="1534"/>
      <c r="L2" s="1534"/>
      <c r="M2" s="1534"/>
      <c r="N2" s="1534"/>
      <c r="O2" s="1534"/>
      <c r="P2" s="1534"/>
      <c r="Q2" s="1534"/>
      <c r="R2" s="1534"/>
      <c r="S2" s="1534"/>
      <c r="T2" s="1534"/>
      <c r="U2" s="1534"/>
      <c r="V2" s="1534"/>
      <c r="W2" s="1534"/>
      <c r="X2" s="1535"/>
    </row>
    <row r="3" spans="2:40" s="1016" customFormat="1" ht="12.95" customHeight="1" x14ac:dyDescent="0.2">
      <c r="C3" s="1891" t="s">
        <v>2633</v>
      </c>
      <c r="D3" s="1574"/>
      <c r="E3" s="1574"/>
      <c r="F3" s="1574"/>
      <c r="G3" s="1574"/>
      <c r="H3" s="1574"/>
      <c r="I3" s="1574"/>
      <c r="J3" s="1574"/>
      <c r="K3" s="1574"/>
      <c r="L3" s="1574"/>
      <c r="M3" s="1574"/>
      <c r="N3" s="1574"/>
      <c r="O3" s="1574"/>
      <c r="P3" s="1574"/>
      <c r="Q3" s="1574"/>
      <c r="R3" s="1574"/>
      <c r="S3" s="1574"/>
      <c r="T3" s="1574"/>
      <c r="U3" s="1892"/>
      <c r="V3" s="1890" t="s">
        <v>729</v>
      </c>
      <c r="W3" s="1890"/>
      <c r="X3" s="1893"/>
      <c r="AB3" s="1724" t="s">
        <v>3497</v>
      </c>
      <c r="AC3" s="1724"/>
      <c r="AD3" s="1724"/>
      <c r="AE3" s="1724" t="s">
        <v>1080</v>
      </c>
      <c r="AF3" s="1724"/>
      <c r="AG3" s="1724"/>
      <c r="AH3" s="1724" t="s">
        <v>3500</v>
      </c>
      <c r="AI3" s="1724"/>
      <c r="AJ3" s="1724"/>
    </row>
    <row r="4" spans="2:40" s="1016" customFormat="1" ht="12.95" customHeight="1" x14ac:dyDescent="0.2">
      <c r="B4" s="18" t="s">
        <v>481</v>
      </c>
      <c r="C4" s="1519"/>
      <c r="D4" s="1459"/>
      <c r="E4" s="1459"/>
      <c r="F4" s="1459"/>
      <c r="G4" s="1459"/>
      <c r="H4" s="1459"/>
      <c r="I4" s="1459"/>
      <c r="J4" s="1459"/>
      <c r="K4" s="1459"/>
      <c r="L4" s="1459"/>
      <c r="M4" s="1459"/>
      <c r="N4" s="1459"/>
      <c r="O4" s="1459"/>
      <c r="P4" s="1459"/>
      <c r="Q4" s="1459"/>
      <c r="R4" s="1459"/>
      <c r="S4" s="1459"/>
      <c r="T4" s="1459"/>
      <c r="U4" s="1460"/>
      <c r="V4" s="1552"/>
      <c r="W4" s="1553"/>
      <c r="X4" s="1560"/>
      <c r="AB4" s="1874" t="str">
        <f>IF(C4="","",VLOOKUP(C4,Database!$AD$61:$AK$81,2,FALSE))</f>
        <v/>
      </c>
      <c r="AC4" s="1874"/>
      <c r="AD4" s="1874"/>
      <c r="AE4" s="1874" t="str">
        <f>IF(C4="","",VLOOKUP(C4,Database!$AD$61:$AK$81,5,FALSE))</f>
        <v/>
      </c>
      <c r="AF4" s="1874"/>
      <c r="AG4" s="1874"/>
      <c r="AH4" s="1874" t="str">
        <f>IF(C4="","",VLOOKUP(C4,Database!$AD$61:$AK$81,8,FALSE))</f>
        <v/>
      </c>
      <c r="AI4" s="1874"/>
      <c r="AJ4" s="1874"/>
      <c r="AN4" s="1016">
        <v>19</v>
      </c>
    </row>
    <row r="5" spans="2:40" s="1016" customFormat="1" ht="12.95" customHeight="1" thickBot="1" x14ac:dyDescent="0.25">
      <c r="B5" s="18" t="s">
        <v>482</v>
      </c>
      <c r="C5" s="1519"/>
      <c r="D5" s="1459"/>
      <c r="E5" s="1459"/>
      <c r="F5" s="1459"/>
      <c r="G5" s="1459"/>
      <c r="H5" s="1459"/>
      <c r="I5" s="1459"/>
      <c r="J5" s="1459"/>
      <c r="K5" s="1459"/>
      <c r="L5" s="1459"/>
      <c r="M5" s="1459"/>
      <c r="N5" s="1459"/>
      <c r="O5" s="1459"/>
      <c r="P5" s="1459"/>
      <c r="Q5" s="1459"/>
      <c r="R5" s="1459"/>
      <c r="S5" s="1459"/>
      <c r="T5" s="1459"/>
      <c r="U5" s="1460"/>
      <c r="V5" s="1552"/>
      <c r="W5" s="1553"/>
      <c r="X5" s="1560"/>
      <c r="AB5" s="1874" t="str">
        <f>IF(C5="","",VLOOKUP(C5,Database!$AD$61:$AG$81,2,FALSE))</f>
        <v/>
      </c>
      <c r="AC5" s="1874"/>
      <c r="AD5" s="1874"/>
      <c r="AE5" s="1874" t="str">
        <f>IF(C5="","",VLOOKUP(C5,Database!$AD$61:$AK$81,5,FALSE))</f>
        <v/>
      </c>
      <c r="AF5" s="1874"/>
      <c r="AG5" s="1874"/>
      <c r="AH5" s="1874" t="str">
        <f>IF(C5="","",VLOOKUP(C5,Database!$AD$61:$AK$81,8,FALSE))</f>
        <v/>
      </c>
      <c r="AI5" s="1874"/>
      <c r="AJ5" s="1874"/>
      <c r="AN5" s="1016">
        <v>19</v>
      </c>
    </row>
    <row r="6" spans="2:40" s="1016" customFormat="1" ht="12.95" customHeight="1" x14ac:dyDescent="0.2">
      <c r="B6" s="977"/>
      <c r="C6" s="1891" t="s">
        <v>2634</v>
      </c>
      <c r="D6" s="1574"/>
      <c r="E6" s="1574"/>
      <c r="F6" s="1574"/>
      <c r="G6" s="1574"/>
      <c r="H6" s="1574"/>
      <c r="I6" s="1574"/>
      <c r="J6" s="1574"/>
      <c r="K6" s="1574"/>
      <c r="L6" s="1574"/>
      <c r="M6" s="1574"/>
      <c r="N6" s="1574"/>
      <c r="O6" s="1574"/>
      <c r="P6" s="1574"/>
      <c r="Q6" s="1574"/>
      <c r="R6" s="1574"/>
      <c r="S6" s="1574"/>
      <c r="T6" s="1574"/>
      <c r="U6" s="1892"/>
      <c r="V6" s="1890" t="s">
        <v>729</v>
      </c>
      <c r="W6" s="1890"/>
      <c r="X6" s="1893"/>
      <c r="AB6" s="1252"/>
      <c r="AC6" s="1252"/>
      <c r="AD6" s="1252"/>
      <c r="AE6" s="1252"/>
      <c r="AF6" s="1252"/>
      <c r="AG6" s="1252"/>
      <c r="AH6" s="1252"/>
      <c r="AI6" s="1252"/>
      <c r="AJ6" s="1252"/>
    </row>
    <row r="7" spans="2:40" s="1016" customFormat="1" ht="12.95" customHeight="1" thickBot="1" x14ac:dyDescent="0.25">
      <c r="B7" s="18" t="s">
        <v>483</v>
      </c>
      <c r="C7" s="1519"/>
      <c r="D7" s="1459"/>
      <c r="E7" s="1459"/>
      <c r="F7" s="1459"/>
      <c r="G7" s="1459"/>
      <c r="H7" s="1459"/>
      <c r="I7" s="1459"/>
      <c r="J7" s="1459"/>
      <c r="K7" s="1459"/>
      <c r="L7" s="1459"/>
      <c r="M7" s="1459"/>
      <c r="N7" s="1459"/>
      <c r="O7" s="1459"/>
      <c r="P7" s="1459"/>
      <c r="Q7" s="1459"/>
      <c r="R7" s="1459"/>
      <c r="S7" s="1459"/>
      <c r="T7" s="1459"/>
      <c r="U7" s="1460"/>
      <c r="V7" s="1552"/>
      <c r="W7" s="1553"/>
      <c r="X7" s="1560"/>
      <c r="AB7" s="1874" t="str">
        <f>IF(C7="","",VLOOKUP(C7,Database!$AD$61:$AG$81,2,FALSE))</f>
        <v/>
      </c>
      <c r="AC7" s="1874"/>
      <c r="AD7" s="1874"/>
      <c r="AE7" s="1874" t="str">
        <f>IF(C7="","",VLOOKUP(C7,Database!$AD$61:$AK$81,5,FALSE))</f>
        <v/>
      </c>
      <c r="AF7" s="1874"/>
      <c r="AG7" s="1874"/>
      <c r="AH7" s="1874" t="str">
        <f>IF(C7="","",VLOOKUP(C7,Database!$AD$61:$AK$81,8,FALSE))</f>
        <v/>
      </c>
      <c r="AI7" s="1874"/>
      <c r="AJ7" s="1874"/>
      <c r="AN7" s="1016">
        <v>20</v>
      </c>
    </row>
    <row r="8" spans="2:40" s="1016" customFormat="1" ht="12.95" customHeight="1" x14ac:dyDescent="0.2">
      <c r="B8" s="977"/>
      <c r="C8" s="1891" t="s">
        <v>2635</v>
      </c>
      <c r="D8" s="1574"/>
      <c r="E8" s="1574"/>
      <c r="F8" s="1574"/>
      <c r="G8" s="1574"/>
      <c r="H8" s="1574"/>
      <c r="I8" s="1574"/>
      <c r="J8" s="1574"/>
      <c r="K8" s="1574"/>
      <c r="L8" s="1574"/>
      <c r="M8" s="1574"/>
      <c r="N8" s="1574"/>
      <c r="O8" s="1574"/>
      <c r="P8" s="1574"/>
      <c r="Q8" s="1574"/>
      <c r="R8" s="1574"/>
      <c r="S8" s="1574"/>
      <c r="T8" s="1574"/>
      <c r="U8" s="1892"/>
      <c r="V8" s="1890" t="s">
        <v>729</v>
      </c>
      <c r="W8" s="1890"/>
      <c r="X8" s="1893"/>
      <c r="AB8" s="1252"/>
      <c r="AC8" s="1252"/>
      <c r="AD8" s="1252"/>
      <c r="AE8" s="1252"/>
      <c r="AF8" s="1252"/>
      <c r="AG8" s="1252"/>
      <c r="AH8" s="1252"/>
      <c r="AI8" s="1252"/>
      <c r="AJ8" s="1252"/>
    </row>
    <row r="9" spans="2:40" s="1016" customFormat="1" ht="12.95" customHeight="1" thickBot="1" x14ac:dyDescent="0.25">
      <c r="B9" s="18" t="s">
        <v>484</v>
      </c>
      <c r="C9" s="1519"/>
      <c r="D9" s="1459"/>
      <c r="E9" s="1459"/>
      <c r="F9" s="1459"/>
      <c r="G9" s="1459"/>
      <c r="H9" s="1459"/>
      <c r="I9" s="1459"/>
      <c r="J9" s="1459"/>
      <c r="K9" s="1459"/>
      <c r="L9" s="1459"/>
      <c r="M9" s="1459"/>
      <c r="N9" s="1459"/>
      <c r="O9" s="1459"/>
      <c r="P9" s="1459"/>
      <c r="Q9" s="1459"/>
      <c r="R9" s="1459"/>
      <c r="S9" s="1459"/>
      <c r="T9" s="1459"/>
      <c r="U9" s="1460"/>
      <c r="V9" s="1552"/>
      <c r="W9" s="1553"/>
      <c r="X9" s="1560"/>
      <c r="AB9" s="1874" t="str">
        <f>IF(C9="","",VLOOKUP(C9,Database!$AD$61:$AG$81,2,FALSE))</f>
        <v/>
      </c>
      <c r="AC9" s="1874"/>
      <c r="AD9" s="1874"/>
      <c r="AE9" s="1874"/>
      <c r="AF9" s="1874"/>
      <c r="AG9" s="1874"/>
      <c r="AH9" s="1874" t="str">
        <f>IF(C9="","",VLOOKUP(C9,Database!$AD$61:$AO$81,12,FALSE))</f>
        <v/>
      </c>
      <c r="AI9" s="1874"/>
      <c r="AJ9" s="1874"/>
      <c r="AK9" s="1874" t="str">
        <f>IF(C9="","",VLOOKUP(C9,Database!$AD$61:$AO$81,8,FALSE))</f>
        <v/>
      </c>
      <c r="AL9" s="1874"/>
      <c r="AM9" s="1874"/>
      <c r="AN9" s="1016">
        <v>20</v>
      </c>
    </row>
    <row r="10" spans="2:40" s="1016" customFormat="1" ht="12.95" customHeight="1" x14ac:dyDescent="0.2">
      <c r="B10" s="977"/>
      <c r="C10" s="1891" t="s">
        <v>78</v>
      </c>
      <c r="D10" s="1574"/>
      <c r="E10" s="1574"/>
      <c r="F10" s="1574"/>
      <c r="G10" s="1574"/>
      <c r="H10" s="1574"/>
      <c r="I10" s="1574"/>
      <c r="J10" s="1574"/>
      <c r="K10" s="1574"/>
      <c r="L10" s="1574"/>
      <c r="M10" s="1574"/>
      <c r="N10" s="1574"/>
      <c r="O10" s="1574"/>
      <c r="P10" s="1574"/>
      <c r="Q10" s="1574"/>
      <c r="R10" s="1574"/>
      <c r="S10" s="1574"/>
      <c r="T10" s="1574"/>
      <c r="U10" s="1892"/>
      <c r="V10" s="1890" t="s">
        <v>729</v>
      </c>
      <c r="W10" s="1890"/>
      <c r="X10" s="1893"/>
      <c r="AB10" s="1244"/>
      <c r="AC10" s="1244"/>
      <c r="AD10" s="1244"/>
      <c r="AE10" s="1252"/>
      <c r="AF10" s="1252"/>
      <c r="AG10" s="1252"/>
    </row>
    <row r="11" spans="2:40" s="1016" customFormat="1" ht="12.95" customHeight="1" thickBot="1" x14ac:dyDescent="0.25">
      <c r="B11" s="18" t="s">
        <v>485</v>
      </c>
      <c r="C11" s="1519"/>
      <c r="D11" s="1459"/>
      <c r="E11" s="1459"/>
      <c r="F11" s="1459"/>
      <c r="G11" s="1459"/>
      <c r="H11" s="1459"/>
      <c r="I11" s="1459"/>
      <c r="J11" s="1459"/>
      <c r="K11" s="1459"/>
      <c r="L11" s="1459"/>
      <c r="M11" s="1459"/>
      <c r="N11" s="1459"/>
      <c r="O11" s="1459"/>
      <c r="P11" s="1459"/>
      <c r="Q11" s="1459"/>
      <c r="R11" s="1459"/>
      <c r="S11" s="1459"/>
      <c r="T11" s="1459"/>
      <c r="U11" s="1460"/>
      <c r="V11" s="1552"/>
      <c r="W11" s="1553"/>
      <c r="X11" s="1560"/>
      <c r="AB11" s="1874" t="str">
        <f>IF(C11="","",VLOOKUP(C11,Database!$AD$61:$AG$81,2,FALSE))</f>
        <v/>
      </c>
      <c r="AC11" s="1874"/>
      <c r="AD11" s="1874"/>
      <c r="AE11" s="1874"/>
      <c r="AF11" s="1874"/>
      <c r="AG11" s="1874"/>
    </row>
    <row r="12" spans="2:40" s="1016" customFormat="1" ht="12.95" customHeight="1" x14ac:dyDescent="0.2">
      <c r="B12" s="977"/>
      <c r="C12" s="1894" t="s">
        <v>77</v>
      </c>
      <c r="D12" s="1834"/>
      <c r="E12" s="1834"/>
      <c r="F12" s="1834"/>
      <c r="G12" s="1834"/>
      <c r="H12" s="1834"/>
      <c r="I12" s="1834"/>
      <c r="J12" s="1834"/>
      <c r="K12" s="1834"/>
      <c r="L12" s="1834"/>
      <c r="M12" s="1834"/>
      <c r="N12" s="1834"/>
      <c r="O12" s="1834"/>
      <c r="P12" s="1834"/>
      <c r="Q12" s="1834"/>
      <c r="R12" s="1834"/>
      <c r="S12" s="1834"/>
      <c r="T12" s="1834"/>
      <c r="U12" s="1835"/>
      <c r="V12" s="1890" t="s">
        <v>76</v>
      </c>
      <c r="W12" s="1890"/>
      <c r="X12" s="1893"/>
      <c r="AB12" s="1244"/>
      <c r="AC12" s="1244"/>
      <c r="AD12" s="1244"/>
      <c r="AE12" s="1252"/>
      <c r="AF12" s="1252"/>
      <c r="AG12" s="1252"/>
    </row>
    <row r="13" spans="2:40" s="1016" customFormat="1" ht="12.95" customHeight="1" x14ac:dyDescent="0.2">
      <c r="B13" s="18" t="s">
        <v>486</v>
      </c>
      <c r="C13" s="1519"/>
      <c r="D13" s="1459"/>
      <c r="E13" s="1459"/>
      <c r="F13" s="1459"/>
      <c r="G13" s="1459"/>
      <c r="H13" s="1459"/>
      <c r="I13" s="1459"/>
      <c r="J13" s="1459"/>
      <c r="K13" s="1459"/>
      <c r="L13" s="1459"/>
      <c r="M13" s="1459"/>
      <c r="N13" s="1459"/>
      <c r="O13" s="1459"/>
      <c r="P13" s="1459"/>
      <c r="Q13" s="1459"/>
      <c r="R13" s="1459"/>
      <c r="S13" s="1459"/>
      <c r="T13" s="1459"/>
      <c r="U13" s="1460"/>
      <c r="V13" s="1552"/>
      <c r="W13" s="1553"/>
      <c r="X13" s="1560"/>
      <c r="AB13" s="1874" t="str">
        <f>IF(C13="","",VLOOKUP(C13,Database!$AD$61:$AG$81,2,FALSE))</f>
        <v/>
      </c>
      <c r="AC13" s="1874"/>
      <c r="AD13" s="1874"/>
      <c r="AE13" s="1874"/>
      <c r="AF13" s="1874"/>
      <c r="AG13" s="1874"/>
    </row>
    <row r="14" spans="2:40" s="1016" customFormat="1" ht="12.95" customHeight="1" thickBot="1" x14ac:dyDescent="0.25">
      <c r="B14" s="977"/>
      <c r="C14" s="1877" t="s">
        <v>3405</v>
      </c>
      <c r="D14" s="1878"/>
      <c r="E14" s="1878"/>
      <c r="F14" s="1878"/>
      <c r="G14" s="1878"/>
      <c r="H14" s="1878"/>
      <c r="I14" s="1878"/>
      <c r="J14" s="1878"/>
      <c r="K14" s="1878"/>
      <c r="L14" s="1878"/>
      <c r="M14" s="1878"/>
      <c r="N14" s="1878"/>
      <c r="O14" s="1878"/>
      <c r="P14" s="1878"/>
      <c r="Q14" s="1878"/>
      <c r="R14" s="1878"/>
      <c r="S14" s="1878"/>
      <c r="T14" s="1878"/>
      <c r="U14" s="1878"/>
      <c r="V14" s="1878"/>
      <c r="W14" s="1878"/>
      <c r="X14" s="1879"/>
    </row>
  </sheetData>
  <sheetProtection password="CA39" sheet="1" objects="1" scenarios="1"/>
  <mergeCells count="44">
    <mergeCell ref="AE3:AG3"/>
    <mergeCell ref="AE4:AG4"/>
    <mergeCell ref="AE5:AG5"/>
    <mergeCell ref="AE7:AG7"/>
    <mergeCell ref="AK9:AM9"/>
    <mergeCell ref="AH3:AJ3"/>
    <mergeCell ref="AH4:AJ4"/>
    <mergeCell ref="AH5:AJ5"/>
    <mergeCell ref="AH7:AJ7"/>
    <mergeCell ref="AH9:AJ9"/>
    <mergeCell ref="AE9:AG9"/>
    <mergeCell ref="AE11:AG11"/>
    <mergeCell ref="AE13:AG13"/>
    <mergeCell ref="V5:X5"/>
    <mergeCell ref="AB9:AD9"/>
    <mergeCell ref="AB11:AD11"/>
    <mergeCell ref="AB13:AD13"/>
    <mergeCell ref="V11:X11"/>
    <mergeCell ref="AB7:AD7"/>
    <mergeCell ref="C2:X2"/>
    <mergeCell ref="C4:U4"/>
    <mergeCell ref="AB5:AD5"/>
    <mergeCell ref="C5:U5"/>
    <mergeCell ref="V4:X4"/>
    <mergeCell ref="C3:U3"/>
    <mergeCell ref="V3:X3"/>
    <mergeCell ref="AB3:AD3"/>
    <mergeCell ref="AB4:AD4"/>
    <mergeCell ref="C6:U6"/>
    <mergeCell ref="V6:X6"/>
    <mergeCell ref="C13:U13"/>
    <mergeCell ref="V13:X13"/>
    <mergeCell ref="C7:U7"/>
    <mergeCell ref="V7:X7"/>
    <mergeCell ref="C12:U12"/>
    <mergeCell ref="C11:U11"/>
    <mergeCell ref="C14:X14"/>
    <mergeCell ref="C8:U8"/>
    <mergeCell ref="V8:X8"/>
    <mergeCell ref="C9:U9"/>
    <mergeCell ref="V9:X9"/>
    <mergeCell ref="C10:U10"/>
    <mergeCell ref="V10:X10"/>
    <mergeCell ref="V12:X12"/>
  </mergeCells>
  <phoneticPr fontId="2" type="noConversion"/>
  <dataValidations count="5">
    <dataValidation type="list" allowBlank="1" showInputMessage="1" showErrorMessage="1" sqref="C5:U5" xr:uid="{00000000-0002-0000-1000-000000000000}">
      <formula1>Floors_20A</formula1>
    </dataValidation>
    <dataValidation type="list" allowBlank="1" showInputMessage="1" showErrorMessage="1" sqref="C13:U13" xr:uid="{00000000-0002-0000-1000-000001000000}">
      <formula1>Floors_22</formula1>
    </dataValidation>
    <dataValidation type="list" allowBlank="1" showInputMessage="1" showErrorMessage="1" sqref="C11:U11" xr:uid="{00000000-0002-0000-1000-000002000000}">
      <formula1>Floors_21</formula1>
    </dataValidation>
    <dataValidation type="list" allowBlank="1" showInputMessage="1" showErrorMessage="1" sqref="C9:U9" xr:uid="{00000000-0002-0000-1000-000003000000}">
      <formula1>Floors_20B</formula1>
    </dataValidation>
    <dataValidation type="list" allowBlank="1" showInputMessage="1" showErrorMessage="1" sqref="C7:U7 C4:U4" xr:uid="{00000000-0002-0000-1000-000004000000}">
      <formula1>Floors_20A</formula1>
    </dataValidation>
  </dataValidations>
  <hyperlinks>
    <hyperlink ref="C14:X14" location="N1_Floors" display="► Return to Dashboard" xr:uid="{00000000-0004-0000-1000-000000000000}"/>
  </hyperlinks>
  <pageMargins left="0.75" right="0.75" top="1" bottom="1" header="0.5" footer="0.5"/>
  <headerFooter alignWithMargins="0"/>
  <customProperties>
    <customPr name="SSCSheetTrackingNo" r:id="rId1"/>
  </customPropertie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39">
    <tabColor indexed="15"/>
  </sheetPr>
  <dimension ref="B1:AC41"/>
  <sheetViews>
    <sheetView workbookViewId="0">
      <selection activeCell="N11" sqref="N11:O11"/>
    </sheetView>
  </sheetViews>
  <sheetFormatPr defaultColWidth="2.7109375" defaultRowHeight="12.75" x14ac:dyDescent="0.2"/>
  <cols>
    <col min="1" max="15" width="2.7109375" style="977" customWidth="1"/>
    <col min="16" max="20" width="2.7109375" style="977" hidden="1" customWidth="1"/>
    <col min="21" max="21" width="6.5703125" style="977" hidden="1" customWidth="1"/>
    <col min="22" max="22" width="4.85546875" style="977" hidden="1" customWidth="1"/>
    <col min="23" max="16384" width="2.7109375" style="977"/>
  </cols>
  <sheetData>
    <row r="1" spans="2:20" ht="13.5" thickBot="1" x14ac:dyDescent="0.25"/>
    <row r="2" spans="2:20" s="1016" customFormat="1" ht="12" thickBot="1" x14ac:dyDescent="0.25">
      <c r="B2" s="1898" t="s">
        <v>4153</v>
      </c>
      <c r="C2" s="1899"/>
      <c r="D2" s="1899"/>
      <c r="E2" s="1899"/>
      <c r="F2" s="1899"/>
      <c r="G2" s="1899"/>
      <c r="H2" s="1899"/>
      <c r="I2" s="1899"/>
      <c r="J2" s="1899"/>
      <c r="K2" s="1899"/>
      <c r="L2" s="1899"/>
      <c r="M2" s="1899"/>
      <c r="N2" s="1899"/>
      <c r="O2" s="1900"/>
    </row>
    <row r="3" spans="2:20" s="1016" customFormat="1" ht="13.5" customHeight="1" thickBot="1" x14ac:dyDescent="0.25">
      <c r="B3" s="1898" t="s">
        <v>1186</v>
      </c>
      <c r="C3" s="1899"/>
      <c r="D3" s="1899"/>
      <c r="E3" s="1899"/>
      <c r="F3" s="1899"/>
      <c r="G3" s="1899"/>
      <c r="H3" s="1899"/>
      <c r="I3" s="1899"/>
      <c r="J3" s="1899"/>
      <c r="K3" s="1899"/>
      <c r="L3" s="1899"/>
      <c r="M3" s="1899"/>
      <c r="N3" s="1899"/>
      <c r="O3" s="1900"/>
    </row>
    <row r="4" spans="2:20" s="1016" customFormat="1" ht="11.25" x14ac:dyDescent="0.2">
      <c r="B4" s="1902" t="s">
        <v>319</v>
      </c>
      <c r="C4" s="1544"/>
      <c r="D4" s="1523" t="s">
        <v>2548</v>
      </c>
      <c r="E4" s="1524"/>
      <c r="F4" s="1524"/>
      <c r="G4" s="1525"/>
      <c r="H4" s="1062"/>
      <c r="I4" s="1062"/>
      <c r="J4" s="1062"/>
      <c r="K4" s="1062"/>
      <c r="L4" s="1062"/>
      <c r="M4" s="1062"/>
      <c r="N4" s="1544" t="s">
        <v>320</v>
      </c>
      <c r="O4" s="1545"/>
    </row>
    <row r="5" spans="2:20" s="1016" customFormat="1" ht="11.25" x14ac:dyDescent="0.2">
      <c r="B5" s="1897"/>
      <c r="C5" s="1803"/>
      <c r="D5" s="1552"/>
      <c r="E5" s="1553"/>
      <c r="F5" s="1553"/>
      <c r="G5" s="1554"/>
      <c r="H5" s="1062"/>
      <c r="I5" s="1062"/>
      <c r="J5" s="1062"/>
      <c r="K5" s="1062"/>
      <c r="L5" s="1062"/>
      <c r="M5" s="1062"/>
      <c r="N5" s="1803"/>
      <c r="O5" s="1870"/>
    </row>
    <row r="6" spans="2:20" s="1016" customFormat="1" ht="11.25" x14ac:dyDescent="0.2">
      <c r="B6" s="1897"/>
      <c r="C6" s="1803"/>
      <c r="D6" s="1552"/>
      <c r="E6" s="1553"/>
      <c r="F6" s="1553"/>
      <c r="G6" s="1554"/>
      <c r="H6" s="1062"/>
      <c r="I6" s="1062"/>
      <c r="J6" s="1062"/>
      <c r="K6" s="1062"/>
      <c r="L6" s="1062"/>
      <c r="M6" s="1062"/>
      <c r="N6" s="1803"/>
      <c r="O6" s="1870"/>
    </row>
    <row r="7" spans="2:20" s="1016" customFormat="1" ht="11.25" x14ac:dyDescent="0.2">
      <c r="B7" s="1897"/>
      <c r="C7" s="1803"/>
      <c r="D7" s="1552"/>
      <c r="E7" s="1553"/>
      <c r="F7" s="1553"/>
      <c r="G7" s="1554"/>
      <c r="H7" s="1062"/>
      <c r="I7" s="1062"/>
      <c r="J7" s="1062"/>
      <c r="K7" s="1062"/>
      <c r="L7" s="1062"/>
      <c r="M7" s="1062"/>
      <c r="N7" s="1803"/>
      <c r="O7" s="1870"/>
    </row>
    <row r="8" spans="2:20" s="1016" customFormat="1" ht="12" thickBot="1" x14ac:dyDescent="0.25">
      <c r="B8" s="1903"/>
      <c r="C8" s="1848"/>
      <c r="D8" s="1711"/>
      <c r="E8" s="1709"/>
      <c r="F8" s="1709"/>
      <c r="G8" s="1710"/>
      <c r="H8" s="1062"/>
      <c r="I8" s="1062"/>
      <c r="J8" s="1062"/>
      <c r="K8" s="1062"/>
      <c r="L8" s="1062"/>
      <c r="M8" s="1062"/>
      <c r="N8" s="1848"/>
      <c r="O8" s="1873"/>
    </row>
    <row r="9" spans="2:20" s="1016" customFormat="1" ht="12" thickBot="1" x14ac:dyDescent="0.25">
      <c r="B9" s="1898" t="s">
        <v>4108</v>
      </c>
      <c r="C9" s="1899"/>
      <c r="D9" s="1899"/>
      <c r="E9" s="1899"/>
      <c r="F9" s="1899"/>
      <c r="G9" s="1899"/>
      <c r="H9" s="1899"/>
      <c r="I9" s="1899"/>
      <c r="J9" s="1899"/>
      <c r="K9" s="1899"/>
      <c r="L9" s="1899"/>
      <c r="M9" s="1899"/>
      <c r="N9" s="1899"/>
      <c r="O9" s="1900"/>
    </row>
    <row r="10" spans="2:20" s="1016" customFormat="1" ht="11.25" x14ac:dyDescent="0.2">
      <c r="B10" s="1902" t="s">
        <v>319</v>
      </c>
      <c r="C10" s="1544"/>
      <c r="D10" s="1523" t="s">
        <v>2595</v>
      </c>
      <c r="E10" s="1524"/>
      <c r="F10" s="1524"/>
      <c r="G10" s="1524"/>
      <c r="H10" s="1524"/>
      <c r="I10" s="1524"/>
      <c r="J10" s="1524"/>
      <c r="K10" s="1524"/>
      <c r="L10" s="1524"/>
      <c r="M10" s="1525"/>
      <c r="N10" s="1544" t="s">
        <v>320</v>
      </c>
      <c r="O10" s="1545"/>
      <c r="Q10" s="1724" t="s">
        <v>2596</v>
      </c>
      <c r="R10" s="1724"/>
      <c r="S10" s="1724" t="s">
        <v>1750</v>
      </c>
      <c r="T10" s="1724"/>
    </row>
    <row r="11" spans="2:20" s="1016" customFormat="1" ht="11.25" x14ac:dyDescent="0.2">
      <c r="B11" s="1897"/>
      <c r="C11" s="1803"/>
      <c r="D11" s="1458"/>
      <c r="E11" s="1459"/>
      <c r="F11" s="1459"/>
      <c r="G11" s="1459"/>
      <c r="H11" s="1459"/>
      <c r="I11" s="1459"/>
      <c r="J11" s="1459"/>
      <c r="K11" s="1459"/>
      <c r="L11" s="1459"/>
      <c r="M11" s="1460"/>
      <c r="N11" s="1803"/>
      <c r="O11" s="1870"/>
      <c r="Q11" s="1712" t="str">
        <f>IF(D11="","",VLOOKUP(D11,KW!$A$258:$F$278,5,FALSE))</f>
        <v/>
      </c>
      <c r="R11" s="1712"/>
      <c r="S11" s="1712" t="str">
        <f>IF(D11="","",VLOOKUP(D11,KW!$A$258:$F$278,6,FALSE))</f>
        <v/>
      </c>
      <c r="T11" s="1712"/>
    </row>
    <row r="12" spans="2:20" s="1016" customFormat="1" ht="11.25" x14ac:dyDescent="0.2">
      <c r="B12" s="1897"/>
      <c r="C12" s="1803"/>
      <c r="D12" s="1458"/>
      <c r="E12" s="1459"/>
      <c r="F12" s="1459"/>
      <c r="G12" s="1459"/>
      <c r="H12" s="1459"/>
      <c r="I12" s="1459"/>
      <c r="J12" s="1459"/>
      <c r="K12" s="1459"/>
      <c r="L12" s="1459"/>
      <c r="M12" s="1460"/>
      <c r="N12" s="1803"/>
      <c r="O12" s="1870"/>
      <c r="Q12" s="1712" t="str">
        <f>IF(D12="","",VLOOKUP(D12,KW!$A$258:$F$278,5,TRUE))</f>
        <v/>
      </c>
      <c r="R12" s="1712"/>
      <c r="S12" s="1712" t="str">
        <f>IF(D12="","",VLOOKUP(D12,KW!$A$258:$F$278,6,TRUE))</f>
        <v/>
      </c>
      <c r="T12" s="1712"/>
    </row>
    <row r="13" spans="2:20" s="1016" customFormat="1" ht="11.25" x14ac:dyDescent="0.2">
      <c r="B13" s="1897"/>
      <c r="C13" s="1803"/>
      <c r="D13" s="1458"/>
      <c r="E13" s="1459"/>
      <c r="F13" s="1459"/>
      <c r="G13" s="1459"/>
      <c r="H13" s="1459"/>
      <c r="I13" s="1459"/>
      <c r="J13" s="1459"/>
      <c r="K13" s="1459"/>
      <c r="L13" s="1459"/>
      <c r="M13" s="1460"/>
      <c r="N13" s="1803"/>
      <c r="O13" s="1870"/>
      <c r="Q13" s="1712" t="str">
        <f>IF(D13="","",VLOOKUP(D13,KW!$A$258:$F$278,5,TRUE))</f>
        <v/>
      </c>
      <c r="R13" s="1712"/>
      <c r="S13" s="1712" t="str">
        <f>IF(D13="","",VLOOKUP(D13,KW!$A$258:$F$278,6,TRUE))</f>
        <v/>
      </c>
      <c r="T13" s="1712"/>
    </row>
    <row r="14" spans="2:20" s="1016" customFormat="1" ht="12" thickBot="1" x14ac:dyDescent="0.25">
      <c r="B14" s="1903"/>
      <c r="C14" s="1848"/>
      <c r="D14" s="1904"/>
      <c r="E14" s="1858"/>
      <c r="F14" s="1858"/>
      <c r="G14" s="1858"/>
      <c r="H14" s="1858"/>
      <c r="I14" s="1858"/>
      <c r="J14" s="1858"/>
      <c r="K14" s="1858"/>
      <c r="L14" s="1858"/>
      <c r="M14" s="1859"/>
      <c r="N14" s="1848"/>
      <c r="O14" s="1873"/>
      <c r="Q14" s="1712" t="str">
        <f>IF(D14="","",VLOOKUP(D14,KW!$A$258:$F$278,5,TRUE))</f>
        <v/>
      </c>
      <c r="R14" s="1712"/>
      <c r="S14" s="1712" t="str">
        <f>IF(D14="","",VLOOKUP(D14,KW!$A$258:$F$278,6,TRUE))</f>
        <v/>
      </c>
      <c r="T14" s="1712"/>
    </row>
    <row r="15" spans="2:20" s="1016" customFormat="1" ht="13.5" customHeight="1" thickBot="1" x14ac:dyDescent="0.25">
      <c r="B15" s="1898" t="s">
        <v>2549</v>
      </c>
      <c r="C15" s="1899"/>
      <c r="D15" s="1899"/>
      <c r="E15" s="1899"/>
      <c r="F15" s="1899"/>
      <c r="G15" s="1899"/>
      <c r="H15" s="1899"/>
      <c r="I15" s="1899"/>
      <c r="J15" s="1899"/>
      <c r="K15" s="1899"/>
      <c r="L15" s="1899"/>
      <c r="M15" s="1899"/>
      <c r="N15" s="1899"/>
      <c r="O15" s="1900"/>
    </row>
    <row r="16" spans="2:20" s="1016" customFormat="1" ht="12.75" customHeight="1" x14ac:dyDescent="0.2">
      <c r="B16" s="1740" t="s">
        <v>319</v>
      </c>
      <c r="C16" s="1727"/>
      <c r="D16" s="1731" t="s">
        <v>840</v>
      </c>
      <c r="E16" s="1732"/>
      <c r="F16" s="1733"/>
      <c r="G16" s="1726" t="s">
        <v>1300</v>
      </c>
      <c r="H16" s="1901" t="s">
        <v>2597</v>
      </c>
      <c r="I16" s="1901"/>
      <c r="J16" s="1901"/>
      <c r="K16" s="1758" t="s">
        <v>2423</v>
      </c>
      <c r="L16" s="1759"/>
      <c r="M16" s="1760"/>
      <c r="N16" s="1725" t="s">
        <v>320</v>
      </c>
      <c r="O16" s="1868"/>
    </row>
    <row r="17" spans="2:22" s="1016" customFormat="1" ht="11.25" x14ac:dyDescent="0.2">
      <c r="B17" s="1744"/>
      <c r="C17" s="1730"/>
      <c r="D17" s="1728"/>
      <c r="E17" s="1729"/>
      <c r="F17" s="1730"/>
      <c r="G17" s="1729"/>
      <c r="H17" s="1738"/>
      <c r="I17" s="1738"/>
      <c r="J17" s="1738"/>
      <c r="K17" s="1758"/>
      <c r="L17" s="1759"/>
      <c r="M17" s="1760"/>
      <c r="N17" s="1728"/>
      <c r="O17" s="1869"/>
      <c r="Q17" s="1724" t="s">
        <v>2596</v>
      </c>
      <c r="R17" s="1724"/>
      <c r="S17" s="1724" t="s">
        <v>1750</v>
      </c>
      <c r="T17" s="1724"/>
    </row>
    <row r="18" spans="2:22" s="1016" customFormat="1" ht="11.25" x14ac:dyDescent="0.2">
      <c r="B18" s="1897"/>
      <c r="C18" s="1803"/>
      <c r="D18" s="1552"/>
      <c r="E18" s="1553"/>
      <c r="F18" s="1554"/>
      <c r="G18" s="1284" t="s">
        <v>1300</v>
      </c>
      <c r="H18" s="1803"/>
      <c r="I18" s="1803"/>
      <c r="J18" s="1803"/>
      <c r="K18" s="1803"/>
      <c r="L18" s="1803"/>
      <c r="M18" s="1803"/>
      <c r="N18" s="1803"/>
      <c r="O18" s="1870"/>
      <c r="Q18" s="1712">
        <f>MAX(B18*D18*3.1,B18*H18)*N18</f>
        <v>0</v>
      </c>
      <c r="R18" s="1712"/>
      <c r="S18" s="1712">
        <f>B18*K18*N18</f>
        <v>0</v>
      </c>
      <c r="T18" s="1712"/>
    </row>
    <row r="19" spans="2:22" s="1016" customFormat="1" ht="11.25" x14ac:dyDescent="0.2">
      <c r="B19" s="1897"/>
      <c r="C19" s="1803"/>
      <c r="D19" s="1552"/>
      <c r="E19" s="1553"/>
      <c r="F19" s="1554"/>
      <c r="G19" s="1284" t="s">
        <v>1300</v>
      </c>
      <c r="H19" s="1803"/>
      <c r="I19" s="1803"/>
      <c r="J19" s="1803"/>
      <c r="K19" s="1803"/>
      <c r="L19" s="1803"/>
      <c r="M19" s="1803"/>
      <c r="N19" s="1803"/>
      <c r="O19" s="1870"/>
      <c r="Q19" s="1712">
        <f>MAX(B19*D19*3.1,B19*H19)*N19</f>
        <v>0</v>
      </c>
      <c r="R19" s="1712"/>
      <c r="S19" s="1712">
        <f>B19*K19*N19</f>
        <v>0</v>
      </c>
      <c r="T19" s="1712"/>
    </row>
    <row r="20" spans="2:22" s="1016" customFormat="1" ht="11.25" x14ac:dyDescent="0.2">
      <c r="B20" s="1897"/>
      <c r="C20" s="1803"/>
      <c r="D20" s="1552"/>
      <c r="E20" s="1553"/>
      <c r="F20" s="1554"/>
      <c r="G20" s="1284" t="s">
        <v>1300</v>
      </c>
      <c r="H20" s="1803"/>
      <c r="I20" s="1803"/>
      <c r="J20" s="1803"/>
      <c r="K20" s="1803"/>
      <c r="L20" s="1803"/>
      <c r="M20" s="1803"/>
      <c r="N20" s="1803"/>
      <c r="O20" s="1870"/>
      <c r="Q20" s="1712">
        <f>MAX(B20*D20*3.1,B20*H20)*N20</f>
        <v>0</v>
      </c>
      <c r="R20" s="1712"/>
      <c r="S20" s="1712">
        <f>B20*K20*N20</f>
        <v>0</v>
      </c>
      <c r="T20" s="1712"/>
    </row>
    <row r="21" spans="2:22" s="1016" customFormat="1" ht="12" thickBot="1" x14ac:dyDescent="0.25">
      <c r="B21" s="1897"/>
      <c r="C21" s="1803"/>
      <c r="D21" s="1552"/>
      <c r="E21" s="1553"/>
      <c r="F21" s="1554"/>
      <c r="G21" s="1284" t="s">
        <v>1300</v>
      </c>
      <c r="H21" s="1803"/>
      <c r="I21" s="1803"/>
      <c r="J21" s="1803"/>
      <c r="K21" s="1803"/>
      <c r="L21" s="1803"/>
      <c r="M21" s="1803"/>
      <c r="N21" s="1803"/>
      <c r="O21" s="1870"/>
      <c r="Q21" s="1712">
        <f>MAX(B21*D21*3.1,B21*H21)*N21</f>
        <v>0</v>
      </c>
      <c r="R21" s="1712"/>
      <c r="S21" s="1712">
        <f>B21*K21*N21</f>
        <v>0</v>
      </c>
      <c r="T21" s="1712"/>
      <c r="U21" s="1283">
        <f>SUM(Q18:R21)</f>
        <v>0</v>
      </c>
      <c r="V21" s="1283">
        <f>SUM(S18:T21)</f>
        <v>0</v>
      </c>
    </row>
    <row r="22" spans="2:22" s="1016" customFormat="1" ht="13.5" customHeight="1" x14ac:dyDescent="0.2">
      <c r="B22" s="1909" t="s">
        <v>3116</v>
      </c>
      <c r="C22" s="1910"/>
      <c r="D22" s="1910"/>
      <c r="E22" s="1910"/>
      <c r="F22" s="1910"/>
      <c r="G22" s="1910"/>
      <c r="H22" s="1910"/>
      <c r="I22" s="1910"/>
      <c r="J22" s="1910"/>
      <c r="K22" s="1910"/>
      <c r="L22" s="1910"/>
      <c r="M22" s="1910"/>
      <c r="N22" s="1910"/>
      <c r="O22" s="1911"/>
    </row>
    <row r="23" spans="2:22" s="1016" customFormat="1" ht="13.5" customHeight="1" thickBot="1" x14ac:dyDescent="0.25">
      <c r="B23" s="1912" t="s">
        <v>3117</v>
      </c>
      <c r="C23" s="1913"/>
      <c r="D23" s="1913"/>
      <c r="E23" s="1913"/>
      <c r="F23" s="1913"/>
      <c r="G23" s="1913"/>
      <c r="H23" s="1913"/>
      <c r="I23" s="1913"/>
      <c r="J23" s="1913"/>
      <c r="K23" s="1913"/>
      <c r="L23" s="1913"/>
      <c r="M23" s="1913"/>
      <c r="N23" s="1913"/>
      <c r="O23" s="1914"/>
    </row>
    <row r="24" spans="2:22" s="1016" customFormat="1" ht="12.75" customHeight="1" x14ac:dyDescent="0.2">
      <c r="B24" s="1740" t="s">
        <v>319</v>
      </c>
      <c r="C24" s="1727"/>
      <c r="D24" s="1731" t="s">
        <v>840</v>
      </c>
      <c r="E24" s="1732"/>
      <c r="F24" s="1733"/>
      <c r="G24" s="1726" t="s">
        <v>1300</v>
      </c>
      <c r="H24" s="1901" t="s">
        <v>2597</v>
      </c>
      <c r="I24" s="1901"/>
      <c r="J24" s="1901"/>
      <c r="K24" s="1758" t="s">
        <v>2423</v>
      </c>
      <c r="L24" s="1759"/>
      <c r="M24" s="1760"/>
      <c r="N24" s="1725" t="s">
        <v>320</v>
      </c>
      <c r="O24" s="1868"/>
    </row>
    <row r="25" spans="2:22" s="1016" customFormat="1" ht="11.25" x14ac:dyDescent="0.2">
      <c r="B25" s="1744"/>
      <c r="C25" s="1730"/>
      <c r="D25" s="1728"/>
      <c r="E25" s="1729"/>
      <c r="F25" s="1730"/>
      <c r="G25" s="1729"/>
      <c r="H25" s="1738"/>
      <c r="I25" s="1738"/>
      <c r="J25" s="1738"/>
      <c r="K25" s="1758"/>
      <c r="L25" s="1759"/>
      <c r="M25" s="1760"/>
      <c r="N25" s="1728"/>
      <c r="O25" s="1869"/>
      <c r="Q25" s="1724" t="s">
        <v>2596</v>
      </c>
      <c r="R25" s="1724"/>
      <c r="S25" s="1724" t="s">
        <v>1750</v>
      </c>
      <c r="T25" s="1724"/>
    </row>
    <row r="26" spans="2:22" s="1016" customFormat="1" ht="11.25" x14ac:dyDescent="0.2">
      <c r="B26" s="1897"/>
      <c r="C26" s="1803"/>
      <c r="D26" s="1552"/>
      <c r="E26" s="1553"/>
      <c r="F26" s="1554"/>
      <c r="G26" s="1284" t="s">
        <v>1300</v>
      </c>
      <c r="H26" s="1803"/>
      <c r="I26" s="1803"/>
      <c r="J26" s="1803"/>
      <c r="K26" s="1803"/>
      <c r="L26" s="1803"/>
      <c r="M26" s="1803"/>
      <c r="N26" s="1803"/>
      <c r="O26" s="1870"/>
      <c r="Q26" s="1712">
        <f>MAX(B26*D26*3.1,B26*H26)*N26</f>
        <v>0</v>
      </c>
      <c r="R26" s="1712"/>
      <c r="S26" s="1712">
        <f>(B26*K26)*N26</f>
        <v>0</v>
      </c>
      <c r="T26" s="1712"/>
    </row>
    <row r="27" spans="2:22" s="1016" customFormat="1" ht="11.25" x14ac:dyDescent="0.2">
      <c r="B27" s="1897"/>
      <c r="C27" s="1803"/>
      <c r="D27" s="1552"/>
      <c r="E27" s="1553"/>
      <c r="F27" s="1554"/>
      <c r="G27" s="1284" t="s">
        <v>1300</v>
      </c>
      <c r="H27" s="1803"/>
      <c r="I27" s="1803"/>
      <c r="J27" s="1803"/>
      <c r="K27" s="1803"/>
      <c r="L27" s="1803"/>
      <c r="M27" s="1803"/>
      <c r="N27" s="1803"/>
      <c r="O27" s="1870"/>
      <c r="Q27" s="1712">
        <f>MAX(B27*D27*3.1,B27*H27)*N27</f>
        <v>0</v>
      </c>
      <c r="R27" s="1712"/>
      <c r="S27" s="1712">
        <f>(B27*K27)*N27</f>
        <v>0</v>
      </c>
      <c r="T27" s="1712"/>
    </row>
    <row r="28" spans="2:22" s="1016" customFormat="1" ht="11.25" x14ac:dyDescent="0.2">
      <c r="B28" s="1897"/>
      <c r="C28" s="1803"/>
      <c r="D28" s="1552"/>
      <c r="E28" s="1553"/>
      <c r="F28" s="1554"/>
      <c r="G28" s="1284" t="s">
        <v>1300</v>
      </c>
      <c r="H28" s="1803"/>
      <c r="I28" s="1803"/>
      <c r="J28" s="1803"/>
      <c r="K28" s="1803"/>
      <c r="L28" s="1803"/>
      <c r="M28" s="1803"/>
      <c r="N28" s="1803"/>
      <c r="O28" s="1870"/>
      <c r="Q28" s="1712">
        <f>MAX(B28*D28*3.1,B28*H28)*N28</f>
        <v>0</v>
      </c>
      <c r="R28" s="1712"/>
      <c r="S28" s="1712">
        <f>(B28*K28)*N28</f>
        <v>0</v>
      </c>
      <c r="T28" s="1712"/>
    </row>
    <row r="29" spans="2:22" s="1016" customFormat="1" ht="12" thickBot="1" x14ac:dyDescent="0.25">
      <c r="B29" s="1897"/>
      <c r="C29" s="1803"/>
      <c r="D29" s="1552"/>
      <c r="E29" s="1553"/>
      <c r="F29" s="1554"/>
      <c r="G29" s="1284" t="s">
        <v>1300</v>
      </c>
      <c r="H29" s="1803"/>
      <c r="I29" s="1803"/>
      <c r="J29" s="1803"/>
      <c r="K29" s="1803"/>
      <c r="L29" s="1803"/>
      <c r="M29" s="1803"/>
      <c r="N29" s="1803"/>
      <c r="O29" s="1870"/>
      <c r="Q29" s="1712">
        <f>MAX(B29*D29*3.1,B29*H29)*N29</f>
        <v>0</v>
      </c>
      <c r="R29" s="1712"/>
      <c r="S29" s="1712">
        <f>(B29*K29)*N29</f>
        <v>0</v>
      </c>
      <c r="T29" s="1712"/>
      <c r="U29" s="1283">
        <f>SUM(Q26:R29)</f>
        <v>0</v>
      </c>
      <c r="V29" s="1283">
        <f>SUM(S26:T29)</f>
        <v>0</v>
      </c>
    </row>
    <row r="30" spans="2:22" s="1016" customFormat="1" ht="12" thickBot="1" x14ac:dyDescent="0.25">
      <c r="B30" s="1898" t="s">
        <v>2424</v>
      </c>
      <c r="C30" s="1899"/>
      <c r="D30" s="1899"/>
      <c r="E30" s="1899"/>
      <c r="F30" s="1899"/>
      <c r="G30" s="1899"/>
      <c r="H30" s="1899"/>
      <c r="I30" s="1899"/>
      <c r="J30" s="1899"/>
      <c r="K30" s="1899"/>
      <c r="L30" s="1899"/>
      <c r="M30" s="1899"/>
      <c r="N30" s="1899"/>
      <c r="O30" s="1900"/>
    </row>
    <row r="31" spans="2:22" s="1016" customFormat="1" ht="11.25" x14ac:dyDescent="0.2">
      <c r="B31" s="1902" t="s">
        <v>319</v>
      </c>
      <c r="C31" s="1544"/>
      <c r="D31" s="1523" t="s">
        <v>3794</v>
      </c>
      <c r="E31" s="1524"/>
      <c r="F31" s="1524"/>
      <c r="G31" s="1525"/>
      <c r="H31" s="1058"/>
      <c r="I31" s="1058"/>
      <c r="J31" s="1058"/>
      <c r="K31" s="1058"/>
      <c r="L31" s="1058"/>
      <c r="M31" s="1058"/>
      <c r="N31" s="1058"/>
      <c r="O31" s="1059"/>
    </row>
    <row r="32" spans="2:22" s="1016" customFormat="1" ht="11.25" x14ac:dyDescent="0.2">
      <c r="B32" s="1908"/>
      <c r="C32" s="1554"/>
      <c r="D32" s="1803" t="s">
        <v>4130</v>
      </c>
      <c r="E32" s="1803"/>
      <c r="F32" s="1803"/>
      <c r="G32" s="1803"/>
      <c r="H32" s="1058"/>
      <c r="I32" s="1058"/>
      <c r="J32" s="1058"/>
      <c r="K32" s="1058"/>
      <c r="L32" s="1058"/>
      <c r="M32" s="1058"/>
      <c r="N32" s="1058"/>
      <c r="O32" s="1059"/>
    </row>
    <row r="33" spans="2:29" s="1016" customFormat="1" ht="11.25" x14ac:dyDescent="0.2">
      <c r="B33" s="1908"/>
      <c r="C33" s="1554"/>
      <c r="D33" s="1803" t="s">
        <v>4131</v>
      </c>
      <c r="E33" s="1803"/>
      <c r="F33" s="1803"/>
      <c r="G33" s="1803"/>
      <c r="H33" s="1058"/>
      <c r="I33" s="1058"/>
      <c r="J33" s="1058"/>
      <c r="K33" s="1058"/>
      <c r="L33" s="1058"/>
      <c r="M33" s="1058"/>
      <c r="N33" s="1058"/>
      <c r="O33" s="1059"/>
    </row>
    <row r="34" spans="2:29" s="1016" customFormat="1" ht="12" thickBot="1" x14ac:dyDescent="0.25">
      <c r="B34" s="1915"/>
      <c r="C34" s="1551"/>
      <c r="D34" s="1884" t="s">
        <v>4132</v>
      </c>
      <c r="E34" s="1884"/>
      <c r="F34" s="1884"/>
      <c r="G34" s="1884"/>
      <c r="H34" s="1060"/>
      <c r="I34" s="1060"/>
      <c r="J34" s="1060"/>
      <c r="K34" s="1060"/>
      <c r="L34" s="1060"/>
      <c r="M34" s="1060"/>
      <c r="N34" s="1060"/>
      <c r="O34" s="1061"/>
    </row>
    <row r="35" spans="2:29" s="1016" customFormat="1" ht="12" thickBot="1" x14ac:dyDescent="0.25">
      <c r="B35" s="1898" t="s">
        <v>2426</v>
      </c>
      <c r="C35" s="1899"/>
      <c r="D35" s="1899"/>
      <c r="E35" s="1899"/>
      <c r="F35" s="1899"/>
      <c r="G35" s="1899"/>
      <c r="H35" s="1899"/>
      <c r="I35" s="1899"/>
      <c r="J35" s="1899"/>
      <c r="K35" s="1899"/>
      <c r="L35" s="1899"/>
      <c r="M35" s="1899"/>
      <c r="N35" s="1899"/>
      <c r="O35" s="1900"/>
    </row>
    <row r="36" spans="2:29" s="1016" customFormat="1" ht="11.25" x14ac:dyDescent="0.2">
      <c r="B36" s="1069"/>
      <c r="C36" s="1070"/>
      <c r="D36" s="1070"/>
      <c r="E36" s="1070"/>
      <c r="F36" s="1070"/>
      <c r="G36" s="1070"/>
      <c r="H36" s="1070"/>
      <c r="I36" s="1070"/>
      <c r="J36" s="1070"/>
      <c r="K36" s="1070"/>
      <c r="L36" s="1070"/>
      <c r="M36" s="1070"/>
      <c r="N36" s="1070"/>
      <c r="O36" s="1071"/>
      <c r="U36" s="1016" t="s">
        <v>3905</v>
      </c>
      <c r="V36" s="1016" t="s">
        <v>415</v>
      </c>
    </row>
    <row r="37" spans="2:29" s="1016" customFormat="1" ht="11.25" x14ac:dyDescent="0.2">
      <c r="B37" s="1063"/>
      <c r="C37" s="1064"/>
      <c r="D37" s="1064"/>
      <c r="E37" s="1064"/>
      <c r="F37" s="1064"/>
      <c r="G37" s="1064"/>
      <c r="H37" s="1064"/>
      <c r="I37" s="1064"/>
      <c r="J37" s="1064"/>
      <c r="K37" s="1064"/>
      <c r="L37" s="1064"/>
      <c r="M37" s="1064"/>
      <c r="N37" s="1064"/>
      <c r="O37" s="1065"/>
      <c r="Q37" s="1016">
        <v>2</v>
      </c>
      <c r="S37" s="1896">
        <f>IF(Q37=1,U37,0)</f>
        <v>0</v>
      </c>
      <c r="T37" s="1896"/>
      <c r="U37" s="1282">
        <f>' Wrk I'!I40</f>
        <v>0</v>
      </c>
      <c r="V37" s="1282">
        <f>(('Form N1'!$O$50)+SUM('Form N1'!$O$10:$O$48))*0.025</f>
        <v>0</v>
      </c>
    </row>
    <row r="38" spans="2:29" s="1016" customFormat="1" ht="11.25" x14ac:dyDescent="0.2">
      <c r="B38" s="1063"/>
      <c r="C38" s="1064"/>
      <c r="D38" s="1064"/>
      <c r="E38" s="1064"/>
      <c r="F38" s="1064"/>
      <c r="G38" s="1064"/>
      <c r="H38" s="1064"/>
      <c r="I38" s="1064"/>
      <c r="J38" s="1064"/>
      <c r="K38" s="1064"/>
      <c r="L38" s="1064"/>
      <c r="M38" s="1064"/>
      <c r="N38" s="1064"/>
      <c r="O38" s="1065"/>
      <c r="S38" s="1896">
        <f>IF(Q37=2,U38,0)</f>
        <v>0</v>
      </c>
      <c r="T38" s="1896"/>
      <c r="U38" s="1282">
        <f>' Wrk I'!I40</f>
        <v>0</v>
      </c>
    </row>
    <row r="39" spans="2:29" s="1016" customFormat="1" ht="11.25" x14ac:dyDescent="0.2">
      <c r="B39" s="1063"/>
      <c r="C39" s="1064"/>
      <c r="D39" s="1064"/>
      <c r="E39" s="1064"/>
      <c r="F39" s="1064"/>
      <c r="G39" s="1064"/>
      <c r="H39" s="1064"/>
      <c r="I39" s="1064"/>
      <c r="J39" s="1064"/>
      <c r="K39" s="1064"/>
      <c r="L39" s="1064"/>
      <c r="M39" s="1064"/>
      <c r="N39" s="1064"/>
      <c r="O39" s="1065"/>
      <c r="Q39" s="1895" t="b">
        <v>0</v>
      </c>
      <c r="R39" s="1895"/>
      <c r="S39" s="1896">
        <f>IF(Q39=TRUE,V37,0)</f>
        <v>0</v>
      </c>
      <c r="T39" s="1896"/>
    </row>
    <row r="40" spans="2:29" s="1016" customFormat="1" ht="15" customHeight="1" thickBot="1" x14ac:dyDescent="0.25">
      <c r="B40" s="1066"/>
      <c r="C40" s="1067"/>
      <c r="D40" s="1067"/>
      <c r="E40" s="1067"/>
      <c r="F40" s="1067"/>
      <c r="G40" s="1067"/>
      <c r="H40" s="1067"/>
      <c r="I40" s="1067"/>
      <c r="J40" s="1067"/>
      <c r="K40" s="1067"/>
      <c r="L40" s="1067"/>
      <c r="M40" s="1067"/>
      <c r="N40" s="1067"/>
      <c r="O40" s="1068"/>
      <c r="Q40" s="1895" t="b">
        <v>0</v>
      </c>
      <c r="R40" s="1895"/>
      <c r="S40" s="1311"/>
      <c r="T40" s="1311"/>
    </row>
    <row r="41" spans="2:29" ht="13.5" thickBot="1" x14ac:dyDescent="0.25">
      <c r="B41" s="1905" t="s">
        <v>1452</v>
      </c>
      <c r="C41" s="1906"/>
      <c r="D41" s="1906"/>
      <c r="E41" s="1906"/>
      <c r="F41" s="1906"/>
      <c r="G41" s="1906"/>
      <c r="H41" s="1906"/>
      <c r="I41" s="1906"/>
      <c r="J41" s="1906"/>
      <c r="K41" s="1906"/>
      <c r="L41" s="1906"/>
      <c r="M41" s="1906"/>
      <c r="N41" s="1906"/>
      <c r="O41" s="1907"/>
      <c r="S41" s="1896">
        <f>IF(Q40=TRUE,S39,SUM(S38:T39))</f>
        <v>0</v>
      </c>
      <c r="T41" s="1896"/>
      <c r="W41" s="1016"/>
      <c r="X41" s="1016"/>
      <c r="Y41" s="1016"/>
      <c r="Z41" s="1016"/>
      <c r="AA41" s="1016"/>
      <c r="AB41" s="1016"/>
      <c r="AC41" s="1016"/>
    </row>
  </sheetData>
  <mergeCells count="135">
    <mergeCell ref="N19:O19"/>
    <mergeCell ref="B20:C20"/>
    <mergeCell ref="D21:F21"/>
    <mergeCell ref="N20:O20"/>
    <mergeCell ref="K19:M19"/>
    <mergeCell ref="N16:O17"/>
    <mergeCell ref="B18:C18"/>
    <mergeCell ref="N18:O18"/>
    <mergeCell ref="D19:F19"/>
    <mergeCell ref="D20:F20"/>
    <mergeCell ref="B16:C17"/>
    <mergeCell ref="G16:G17"/>
    <mergeCell ref="H19:J19"/>
    <mergeCell ref="H20:J20"/>
    <mergeCell ref="B19:C19"/>
    <mergeCell ref="K20:M20"/>
    <mergeCell ref="G24:G25"/>
    <mergeCell ref="H24:J25"/>
    <mergeCell ref="B41:O41"/>
    <mergeCell ref="B21:C21"/>
    <mergeCell ref="B31:C31"/>
    <mergeCell ref="D31:G31"/>
    <mergeCell ref="D32:G32"/>
    <mergeCell ref="B27:C27"/>
    <mergeCell ref="K27:M27"/>
    <mergeCell ref="N27:O27"/>
    <mergeCell ref="B32:C32"/>
    <mergeCell ref="N21:O21"/>
    <mergeCell ref="K21:M21"/>
    <mergeCell ref="H21:J21"/>
    <mergeCell ref="B30:O30"/>
    <mergeCell ref="B22:O22"/>
    <mergeCell ref="B24:C25"/>
    <mergeCell ref="D24:F25"/>
    <mergeCell ref="K24:M25"/>
    <mergeCell ref="N24:O25"/>
    <mergeCell ref="B23:O23"/>
    <mergeCell ref="B33:C33"/>
    <mergeCell ref="B34:C34"/>
    <mergeCell ref="B35:O35"/>
    <mergeCell ref="S14:T14"/>
    <mergeCell ref="Q11:R11"/>
    <mergeCell ref="S11:T11"/>
    <mergeCell ref="Q12:R12"/>
    <mergeCell ref="S12:T12"/>
    <mergeCell ref="K18:M18"/>
    <mergeCell ref="H18:J18"/>
    <mergeCell ref="D18:F18"/>
    <mergeCell ref="D14:M14"/>
    <mergeCell ref="Q17:R17"/>
    <mergeCell ref="S17:T17"/>
    <mergeCell ref="Q18:R18"/>
    <mergeCell ref="S18:T18"/>
    <mergeCell ref="S10:T10"/>
    <mergeCell ref="B12:C12"/>
    <mergeCell ref="N12:O12"/>
    <mergeCell ref="B13:C13"/>
    <mergeCell ref="N13:O13"/>
    <mergeCell ref="D12:M12"/>
    <mergeCell ref="D13:M13"/>
    <mergeCell ref="Q13:R13"/>
    <mergeCell ref="S13:T13"/>
    <mergeCell ref="N10:O10"/>
    <mergeCell ref="B9:O9"/>
    <mergeCell ref="B11:C11"/>
    <mergeCell ref="N11:O11"/>
    <mergeCell ref="D10:M10"/>
    <mergeCell ref="D11:M11"/>
    <mergeCell ref="B14:C14"/>
    <mergeCell ref="N14:O14"/>
    <mergeCell ref="Q10:R10"/>
    <mergeCell ref="Q14:R14"/>
    <mergeCell ref="S41:T41"/>
    <mergeCell ref="S38:T38"/>
    <mergeCell ref="B2:O2"/>
    <mergeCell ref="B15:O15"/>
    <mergeCell ref="B3:O3"/>
    <mergeCell ref="K16:M17"/>
    <mergeCell ref="H16:J17"/>
    <mergeCell ref="D16:F17"/>
    <mergeCell ref="N4:O4"/>
    <mergeCell ref="B4:C4"/>
    <mergeCell ref="B5:C5"/>
    <mergeCell ref="N5:O5"/>
    <mergeCell ref="D4:G4"/>
    <mergeCell ref="D5:G5"/>
    <mergeCell ref="B6:C6"/>
    <mergeCell ref="N6:O6"/>
    <mergeCell ref="B7:C7"/>
    <mergeCell ref="N7:O7"/>
    <mergeCell ref="D6:G6"/>
    <mergeCell ref="D7:G7"/>
    <mergeCell ref="B8:C8"/>
    <mergeCell ref="N8:O8"/>
    <mergeCell ref="B10:C10"/>
    <mergeCell ref="D8:G8"/>
    <mergeCell ref="B26:C26"/>
    <mergeCell ref="D26:F26"/>
    <mergeCell ref="H26:J26"/>
    <mergeCell ref="K26:M26"/>
    <mergeCell ref="N26:O26"/>
    <mergeCell ref="K29:M29"/>
    <mergeCell ref="K28:M28"/>
    <mergeCell ref="B28:C28"/>
    <mergeCell ref="B29:C29"/>
    <mergeCell ref="D27:F27"/>
    <mergeCell ref="H27:J27"/>
    <mergeCell ref="D33:G33"/>
    <mergeCell ref="D34:G34"/>
    <mergeCell ref="N28:O28"/>
    <mergeCell ref="N29:O29"/>
    <mergeCell ref="S27:T27"/>
    <mergeCell ref="S28:T28"/>
    <mergeCell ref="S29:T29"/>
    <mergeCell ref="Q26:R26"/>
    <mergeCell ref="Q27:R27"/>
    <mergeCell ref="Q28:R28"/>
    <mergeCell ref="Q29:R29"/>
    <mergeCell ref="D28:F28"/>
    <mergeCell ref="H28:J28"/>
    <mergeCell ref="D29:F29"/>
    <mergeCell ref="H29:J29"/>
    <mergeCell ref="Q40:R40"/>
    <mergeCell ref="Q19:R19"/>
    <mergeCell ref="S19:T19"/>
    <mergeCell ref="Q20:R20"/>
    <mergeCell ref="S26:T26"/>
    <mergeCell ref="S20:T20"/>
    <mergeCell ref="Q21:R21"/>
    <mergeCell ref="S21:T21"/>
    <mergeCell ref="Q25:R25"/>
    <mergeCell ref="S25:T25"/>
    <mergeCell ref="Q39:R39"/>
    <mergeCell ref="S37:T37"/>
    <mergeCell ref="S39:T39"/>
  </mergeCells>
  <phoneticPr fontId="2" type="noConversion"/>
  <dataValidations count="1">
    <dataValidation type="list" allowBlank="1" showInputMessage="1" showErrorMessage="1" sqref="D11:D14" xr:uid="{00000000-0002-0000-1100-000000000000}">
      <formula1>Activity</formula1>
    </dataValidation>
  </dataValidations>
  <hyperlinks>
    <hyperlink ref="B41:C41" location="N1_Ventilation" display="► Return to N1 Form" xr:uid="{00000000-0004-0000-1100-000000000000}"/>
    <hyperlink ref="B41:O41" location="N1_Internal" display="►Return to N1 Form" xr:uid="{00000000-0004-0000-1100-000001000000}"/>
  </hyperlinks>
  <pageMargins left="0.75" right="0.75" top="1" bottom="1" header="0.5" footer="0.5"/>
  <pageSetup orientation="portrait" r:id="rId1"/>
  <headerFooter alignWithMargins="0"/>
  <customProperties>
    <customPr name="SSCSheetTrackingNo"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32770" r:id="rId5" name="Group Box 2">
              <controlPr locked="0" defaultSize="0" autoFill="0" autoPict="0">
                <anchor moveWithCells="1">
                  <from>
                    <xdr:col>1</xdr:col>
                    <xdr:colOff>0</xdr:colOff>
                    <xdr:row>35</xdr:row>
                    <xdr:rowOff>0</xdr:rowOff>
                  </from>
                  <to>
                    <xdr:col>15</xdr:col>
                    <xdr:colOff>0</xdr:colOff>
                    <xdr:row>39</xdr:row>
                    <xdr:rowOff>9525</xdr:rowOff>
                  </to>
                </anchor>
              </controlPr>
            </control>
          </mc:Choice>
        </mc:AlternateContent>
        <mc:AlternateContent xmlns:mc="http://schemas.openxmlformats.org/markup-compatibility/2006">
          <mc:Choice Requires="x14">
            <control shapeId="32771" r:id="rId6" name="Option Button 3">
              <controlPr locked="0" defaultSize="0" autoFill="0" autoLine="0" autoPict="0">
                <anchor moveWithCells="1">
                  <from>
                    <xdr:col>2</xdr:col>
                    <xdr:colOff>0</xdr:colOff>
                    <xdr:row>35</xdr:row>
                    <xdr:rowOff>0</xdr:rowOff>
                  </from>
                  <to>
                    <xdr:col>11</xdr:col>
                    <xdr:colOff>0</xdr:colOff>
                    <xdr:row>36</xdr:row>
                    <xdr:rowOff>76200</xdr:rowOff>
                  </to>
                </anchor>
              </controlPr>
            </control>
          </mc:Choice>
        </mc:AlternateContent>
        <mc:AlternateContent xmlns:mc="http://schemas.openxmlformats.org/markup-compatibility/2006">
          <mc:Choice Requires="x14">
            <control shapeId="32772" r:id="rId7" name="Option Button 4">
              <controlPr locked="0" defaultSize="0" autoFill="0" autoLine="0" autoPict="0">
                <anchor moveWithCells="1">
                  <from>
                    <xdr:col>2</xdr:col>
                    <xdr:colOff>0</xdr:colOff>
                    <xdr:row>36</xdr:row>
                    <xdr:rowOff>0</xdr:rowOff>
                  </from>
                  <to>
                    <xdr:col>12</xdr:col>
                    <xdr:colOff>0</xdr:colOff>
                    <xdr:row>38</xdr:row>
                    <xdr:rowOff>0</xdr:rowOff>
                  </to>
                </anchor>
              </controlPr>
            </control>
          </mc:Choice>
        </mc:AlternateContent>
        <mc:AlternateContent xmlns:mc="http://schemas.openxmlformats.org/markup-compatibility/2006">
          <mc:Choice Requires="x14">
            <control shapeId="32773" r:id="rId8" name="Check Box 5">
              <controlPr locked="0" defaultSize="0" autoFill="0" autoLine="0" autoPict="0">
                <anchor moveWithCells="1">
                  <from>
                    <xdr:col>2</xdr:col>
                    <xdr:colOff>0</xdr:colOff>
                    <xdr:row>37</xdr:row>
                    <xdr:rowOff>76200</xdr:rowOff>
                  </from>
                  <to>
                    <xdr:col>10</xdr:col>
                    <xdr:colOff>0</xdr:colOff>
                    <xdr:row>39</xdr:row>
                    <xdr:rowOff>9525</xdr:rowOff>
                  </to>
                </anchor>
              </controlPr>
            </control>
          </mc:Choice>
        </mc:AlternateContent>
        <mc:AlternateContent xmlns:mc="http://schemas.openxmlformats.org/markup-compatibility/2006">
          <mc:Choice Requires="x14">
            <control shapeId="32774" r:id="rId9" name="Check Box 6">
              <controlPr locked="0" defaultSize="0" autoFill="0" autoLine="0" autoPict="0">
                <anchor moveWithCells="1">
                  <from>
                    <xdr:col>1</xdr:col>
                    <xdr:colOff>180975</xdr:colOff>
                    <xdr:row>39</xdr:row>
                    <xdr:rowOff>0</xdr:rowOff>
                  </from>
                  <to>
                    <xdr:col>14</xdr:col>
                    <xdr:colOff>142875</xdr:colOff>
                    <xdr:row>39</xdr:row>
                    <xdr:rowOff>171450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2">
    <tabColor indexed="15"/>
  </sheetPr>
  <dimension ref="B1:AP9"/>
  <sheetViews>
    <sheetView showRowColHeaders="0" workbookViewId="0">
      <selection activeCell="B3" sqref="B3:AG3"/>
    </sheetView>
  </sheetViews>
  <sheetFormatPr defaultColWidth="2.7109375" defaultRowHeight="11.25" x14ac:dyDescent="0.2"/>
  <cols>
    <col min="1" max="36" width="2.7109375" style="1016" customWidth="1"/>
    <col min="37" max="37" width="6" style="1016" hidden="1" customWidth="1"/>
    <col min="38" max="38" width="84.85546875" style="1016" hidden="1" customWidth="1"/>
    <col min="39" max="39" width="2.7109375" style="1016" hidden="1" customWidth="1"/>
    <col min="40" max="40" width="88" style="1016" hidden="1" customWidth="1"/>
    <col min="41" max="42" width="2.7109375" style="1016" hidden="1" customWidth="1"/>
    <col min="43" max="16384" width="2.7109375" style="1016"/>
  </cols>
  <sheetData>
    <row r="1" spans="2:42" ht="12" thickBot="1" x14ac:dyDescent="0.25"/>
    <row r="2" spans="2:42" ht="12" thickBot="1" x14ac:dyDescent="0.25">
      <c r="B2" s="1898" t="s">
        <v>3630</v>
      </c>
      <c r="C2" s="1899"/>
      <c r="D2" s="1899"/>
      <c r="E2" s="1899"/>
      <c r="F2" s="1899"/>
      <c r="G2" s="1899"/>
      <c r="H2" s="1899"/>
      <c r="I2" s="1899"/>
      <c r="J2" s="1899"/>
      <c r="K2" s="1899"/>
      <c r="L2" s="1899"/>
      <c r="M2" s="1899"/>
      <c r="N2" s="1899"/>
      <c r="O2" s="1899"/>
      <c r="P2" s="1899"/>
      <c r="Q2" s="1899"/>
      <c r="R2" s="1899"/>
      <c r="S2" s="1899"/>
      <c r="T2" s="1899"/>
      <c r="U2" s="1899"/>
      <c r="V2" s="1899"/>
      <c r="W2" s="1899"/>
      <c r="X2" s="1899"/>
      <c r="Y2" s="1899"/>
      <c r="Z2" s="1899"/>
      <c r="AA2" s="1899"/>
      <c r="AB2" s="1899"/>
      <c r="AC2" s="1899"/>
      <c r="AD2" s="1899"/>
      <c r="AE2" s="1899"/>
      <c r="AF2" s="1899"/>
      <c r="AG2" s="1900"/>
    </row>
    <row r="3" spans="2:42" x14ac:dyDescent="0.2">
      <c r="B3" s="1924" t="s">
        <v>4196</v>
      </c>
      <c r="C3" s="1493"/>
      <c r="D3" s="1493"/>
      <c r="E3" s="1493"/>
      <c r="F3" s="1493"/>
      <c r="G3" s="1493"/>
      <c r="H3" s="1493"/>
      <c r="I3" s="1493"/>
      <c r="J3" s="1493"/>
      <c r="K3" s="1493"/>
      <c r="L3" s="1493"/>
      <c r="M3" s="1493"/>
      <c r="N3" s="1493"/>
      <c r="O3" s="1493"/>
      <c r="P3" s="1493"/>
      <c r="Q3" s="1493"/>
      <c r="R3" s="1493"/>
      <c r="S3" s="1493"/>
      <c r="T3" s="1493"/>
      <c r="U3" s="1493"/>
      <c r="V3" s="1493"/>
      <c r="W3" s="1493"/>
      <c r="X3" s="1493"/>
      <c r="Y3" s="1493"/>
      <c r="Z3" s="1493"/>
      <c r="AA3" s="1493"/>
      <c r="AB3" s="1493"/>
      <c r="AC3" s="1493"/>
      <c r="AD3" s="1493"/>
      <c r="AE3" s="1493"/>
      <c r="AF3" s="1493"/>
      <c r="AG3" s="1925"/>
      <c r="AK3" s="1016" t="s">
        <v>3897</v>
      </c>
      <c r="AL3" s="1016" t="s">
        <v>3893</v>
      </c>
      <c r="AN3" s="1016" t="str">
        <f>AK3&amp;" "&amp;AL3</f>
        <v>7RC Radial or Spider Supply and Return System Installed in a Unconditioned Space or Outdoors, Center Supply Outlets</v>
      </c>
      <c r="AO3" s="1016">
        <v>1</v>
      </c>
      <c r="AP3" s="1016">
        <f>VLOOKUP(B3,AN3:AO7,2)</f>
        <v>3</v>
      </c>
    </row>
    <row r="4" spans="2:42" x14ac:dyDescent="0.2">
      <c r="B4" s="1916" t="s">
        <v>3631</v>
      </c>
      <c r="C4" s="1917"/>
      <c r="D4" s="1917"/>
      <c r="E4" s="1918"/>
      <c r="F4" s="1926" t="s">
        <v>2705</v>
      </c>
      <c r="G4" s="1927"/>
      <c r="H4" s="1923" t="s">
        <v>3632</v>
      </c>
      <c r="I4" s="1917"/>
      <c r="J4" s="1917"/>
      <c r="K4" s="1917"/>
      <c r="L4" s="1918"/>
      <c r="M4" s="1552" t="s">
        <v>3934</v>
      </c>
      <c r="N4" s="1553"/>
      <c r="O4" s="1553"/>
      <c r="P4" s="1553"/>
      <c r="Q4" s="1553"/>
      <c r="R4" s="1553"/>
      <c r="S4" s="1554"/>
      <c r="T4" s="1180"/>
      <c r="U4" s="1181"/>
      <c r="V4" s="1181"/>
      <c r="W4" s="1181"/>
      <c r="X4" s="1181"/>
      <c r="Y4" s="1181"/>
      <c r="Z4" s="1181"/>
      <c r="AA4" s="1181"/>
      <c r="AB4" s="1181"/>
      <c r="AC4" s="1181"/>
      <c r="AD4" s="1181"/>
      <c r="AE4" s="1181"/>
      <c r="AF4" s="1181"/>
      <c r="AG4" s="1182"/>
      <c r="AK4" s="1016" t="s">
        <v>3898</v>
      </c>
      <c r="AL4" s="1016" t="s">
        <v>3894</v>
      </c>
      <c r="AN4" s="1016" t="str">
        <f>AK4&amp;" "&amp;AL4</f>
        <v>7RP Radial or Spider Supply and Return System Installed in a Unconditioned Space or Outdoors, Perimeter Supply Outlets</v>
      </c>
      <c r="AO4" s="1016">
        <v>2</v>
      </c>
    </row>
    <row r="5" spans="2:42" x14ac:dyDescent="0.2">
      <c r="B5" s="1916" t="s">
        <v>2884</v>
      </c>
      <c r="C5" s="1917"/>
      <c r="D5" s="1917"/>
      <c r="E5" s="1917"/>
      <c r="F5" s="1917"/>
      <c r="G5" s="1917"/>
      <c r="H5" s="1917"/>
      <c r="I5" s="1917"/>
      <c r="J5" s="1917"/>
      <c r="K5" s="1917"/>
      <c r="L5" s="1917"/>
      <c r="M5" s="1917"/>
      <c r="N5" s="1917"/>
      <c r="O5" s="1917"/>
      <c r="P5" s="1917"/>
      <c r="Q5" s="1918"/>
      <c r="R5" s="1552" t="s">
        <v>3433</v>
      </c>
      <c r="S5" s="1554"/>
      <c r="T5" s="1183"/>
      <c r="U5" s="1062"/>
      <c r="V5" s="1062"/>
      <c r="W5" s="1062"/>
      <c r="X5" s="1062"/>
      <c r="Y5" s="1062"/>
      <c r="Z5" s="1062"/>
      <c r="AA5" s="1062"/>
      <c r="AB5" s="1062"/>
      <c r="AC5" s="1062"/>
      <c r="AD5" s="1062"/>
      <c r="AE5" s="1062"/>
      <c r="AF5" s="1062"/>
      <c r="AG5" s="1172"/>
      <c r="AK5" s="1016" t="s">
        <v>3899</v>
      </c>
      <c r="AL5" s="1016" t="s">
        <v>3895</v>
      </c>
      <c r="AN5" s="1016" t="str">
        <f>AK5&amp;" "&amp;AL5</f>
        <v>7TC Trunk and Branch Supply and Return System Installed in a Unconditioned Space or Outdoors, Center Supply Outlets</v>
      </c>
      <c r="AO5" s="1016">
        <v>3</v>
      </c>
    </row>
    <row r="6" spans="2:42" x14ac:dyDescent="0.2">
      <c r="B6" s="1920" t="s">
        <v>3933</v>
      </c>
      <c r="C6" s="1921"/>
      <c r="D6" s="1921"/>
      <c r="E6" s="1921"/>
      <c r="F6" s="1921"/>
      <c r="G6" s="1921"/>
      <c r="H6" s="1921"/>
      <c r="I6" s="1921"/>
      <c r="J6" s="1921"/>
      <c r="K6" s="1921"/>
      <c r="L6" s="1921"/>
      <c r="M6" s="1921"/>
      <c r="N6" s="1921"/>
      <c r="O6" s="1921"/>
      <c r="P6" s="1921"/>
      <c r="Q6" s="1922"/>
      <c r="R6" s="1711" t="s">
        <v>3433</v>
      </c>
      <c r="S6" s="1710"/>
      <c r="T6" s="1183"/>
      <c r="U6" s="1062"/>
      <c r="V6" s="1062"/>
      <c r="W6" s="1062"/>
      <c r="X6" s="1062"/>
      <c r="Y6" s="1062"/>
      <c r="Z6" s="1062"/>
      <c r="AA6" s="1062"/>
      <c r="AB6" s="1062"/>
      <c r="AC6" s="1062"/>
      <c r="AD6" s="1062"/>
      <c r="AE6" s="1062"/>
      <c r="AF6" s="1062"/>
      <c r="AG6" s="1172"/>
      <c r="AK6" s="1016" t="s">
        <v>3900</v>
      </c>
      <c r="AL6" s="1016" t="s">
        <v>3896</v>
      </c>
      <c r="AN6" s="1016" t="str">
        <f>AK6&amp;" "&amp;AL6</f>
        <v>7TP Trunk and Branch Supply and Return System Installed in a Unconditioned Space or Outdoors, Perimeter Supply Outlets</v>
      </c>
      <c r="AO6" s="1016">
        <v>4</v>
      </c>
    </row>
    <row r="7" spans="2:42" ht="13.5" customHeight="1" x14ac:dyDescent="0.2">
      <c r="B7" s="1916" t="s">
        <v>3635</v>
      </c>
      <c r="C7" s="1917"/>
      <c r="D7" s="1917"/>
      <c r="E7" s="1917"/>
      <c r="F7" s="1917"/>
      <c r="G7" s="1917"/>
      <c r="H7" s="1917"/>
      <c r="I7" s="1917"/>
      <c r="J7" s="1917"/>
      <c r="K7" s="1917"/>
      <c r="L7" s="1917"/>
      <c r="M7" s="1917"/>
      <c r="N7" s="1917"/>
      <c r="O7" s="1917"/>
      <c r="P7" s="1917"/>
      <c r="Q7" s="1918"/>
      <c r="R7" s="1552">
        <v>15</v>
      </c>
      <c r="S7" s="1554"/>
      <c r="T7" s="1183"/>
      <c r="U7" s="1062"/>
      <c r="V7" s="1062"/>
      <c r="W7" s="1062"/>
      <c r="X7" s="1062"/>
      <c r="Y7" s="1062"/>
      <c r="Z7" s="1062"/>
      <c r="AA7" s="1062"/>
      <c r="AB7" s="1062"/>
      <c r="AC7" s="1062"/>
      <c r="AD7" s="1062"/>
      <c r="AE7" s="1062"/>
      <c r="AF7" s="1062"/>
      <c r="AG7" s="1172"/>
      <c r="AK7" s="1016" t="s">
        <v>3901</v>
      </c>
      <c r="AL7" s="1016" t="s">
        <v>1266</v>
      </c>
      <c r="AN7" s="1016" t="str">
        <f>AK7&amp;" "&amp;AL7</f>
        <v>7GSC Radial or Spider Supply System Installed Under a Ground Slab, Return in Conditioned Space</v>
      </c>
      <c r="AO7" s="1016">
        <v>5</v>
      </c>
    </row>
    <row r="8" spans="2:42" ht="12" thickBot="1" x14ac:dyDescent="0.25">
      <c r="B8" s="1920" t="s">
        <v>3636</v>
      </c>
      <c r="C8" s="1921"/>
      <c r="D8" s="1921"/>
      <c r="E8" s="1921"/>
      <c r="F8" s="1921"/>
      <c r="G8" s="1921"/>
      <c r="H8" s="1921"/>
      <c r="I8" s="1921"/>
      <c r="J8" s="1921"/>
      <c r="K8" s="1921"/>
      <c r="L8" s="1921"/>
      <c r="M8" s="1921"/>
      <c r="N8" s="1921"/>
      <c r="O8" s="1921"/>
      <c r="P8" s="1921"/>
      <c r="Q8" s="1922"/>
      <c r="R8" s="1711">
        <v>90</v>
      </c>
      <c r="S8" s="1710"/>
      <c r="T8" s="1183"/>
      <c r="U8" s="1062"/>
      <c r="V8" s="1062"/>
      <c r="W8" s="1062"/>
      <c r="X8" s="1062"/>
      <c r="Y8" s="1062"/>
      <c r="Z8" s="1062"/>
      <c r="AA8" s="1062"/>
      <c r="AB8" s="1062"/>
      <c r="AC8" s="1062"/>
      <c r="AD8" s="1062"/>
      <c r="AE8" s="1062"/>
      <c r="AF8" s="1062"/>
      <c r="AG8" s="1172"/>
    </row>
    <row r="9" spans="2:42" ht="13.5" customHeight="1" thickBot="1" x14ac:dyDescent="0.25">
      <c r="B9" s="1919" t="s">
        <v>3633</v>
      </c>
      <c r="C9" s="1864"/>
      <c r="D9" s="1864"/>
      <c r="E9" s="1864"/>
      <c r="F9" s="1864"/>
      <c r="G9" s="1864"/>
      <c r="H9" s="1864"/>
      <c r="I9" s="1864"/>
      <c r="J9" s="1864"/>
      <c r="K9" s="1864"/>
      <c r="L9" s="1864"/>
      <c r="M9" s="1864"/>
      <c r="N9" s="1864"/>
      <c r="O9" s="1864"/>
      <c r="P9" s="1864"/>
      <c r="Q9" s="1864"/>
      <c r="R9" s="1864"/>
      <c r="S9" s="1864"/>
      <c r="T9" s="1864"/>
      <c r="U9" s="1864"/>
      <c r="V9" s="1864"/>
      <c r="W9" s="1864"/>
      <c r="X9" s="1864"/>
      <c r="Y9" s="1864"/>
      <c r="Z9" s="1864"/>
      <c r="AA9" s="1864"/>
      <c r="AB9" s="1864"/>
      <c r="AC9" s="1864"/>
      <c r="AD9" s="1864"/>
      <c r="AE9" s="1864"/>
      <c r="AF9" s="1864"/>
      <c r="AG9" s="1865"/>
    </row>
  </sheetData>
  <sheetProtection password="CA39" sheet="1" objects="1" scenarios="1"/>
  <mergeCells count="15">
    <mergeCell ref="B2:AG2"/>
    <mergeCell ref="B4:E4"/>
    <mergeCell ref="B5:Q5"/>
    <mergeCell ref="B9:AG9"/>
    <mergeCell ref="R7:S7"/>
    <mergeCell ref="B7:Q7"/>
    <mergeCell ref="B8:Q8"/>
    <mergeCell ref="R8:S8"/>
    <mergeCell ref="R6:S6"/>
    <mergeCell ref="B6:Q6"/>
    <mergeCell ref="R5:S5"/>
    <mergeCell ref="H4:L4"/>
    <mergeCell ref="M4:S4"/>
    <mergeCell ref="B3:AG3"/>
    <mergeCell ref="F4:G4"/>
  </mergeCells>
  <phoneticPr fontId="2" type="noConversion"/>
  <dataValidations count="5">
    <dataValidation type="list" allowBlank="1" showInputMessage="1" showErrorMessage="1" sqref="M4" xr:uid="{00000000-0002-0000-1200-000000000000}">
      <formula1>Leakage_Rate</formula1>
    </dataValidation>
    <dataValidation type="list" allowBlank="1" showInputMessage="1" showErrorMessage="1" sqref="B3" xr:uid="{00000000-0002-0000-1200-000001000000}">
      <formula1>Duct_Table</formula1>
    </dataValidation>
    <dataValidation type="list" allowBlank="1" showInputMessage="1" showErrorMessage="1" sqref="R7" xr:uid="{00000000-0002-0000-1200-000002000000}">
      <formula1>Duct_Temp_Htg</formula1>
    </dataValidation>
    <dataValidation type="list" allowBlank="1" showInputMessage="1" showErrorMessage="1" sqref="R8" xr:uid="{00000000-0002-0000-1200-000003000000}">
      <formula1>Duct_Temp_Clg</formula1>
    </dataValidation>
    <dataValidation type="list" allowBlank="1" showInputMessage="1" showErrorMessage="1" sqref="F4:G4" xr:uid="{00000000-0002-0000-1200-000004000000}">
      <formula1>"R2,R4,R6,R8"</formula1>
    </dataValidation>
  </dataValidations>
  <hyperlinks>
    <hyperlink ref="B9:N9" location="N1_Infiltration" display="Return to N1 Form" xr:uid="{00000000-0004-0000-1200-000000000000}"/>
    <hyperlink ref="B9:AG9" location="N1_Ducts" display="►Return to N1 Form" xr:uid="{00000000-0004-0000-1200-000001000000}"/>
  </hyperlinks>
  <pageMargins left="0.75" right="0.75" top="1" bottom="1" header="0.5" footer="0.5"/>
  <pageSetup orientation="portrait" horizontalDpi="4294967293" verticalDpi="300" r:id="rId1"/>
  <headerFooter alignWithMargins="0"/>
  <customProperties>
    <customPr name="SSCSheetTrackingNo"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A1:BL912"/>
  <sheetViews>
    <sheetView workbookViewId="0">
      <selection activeCell="A2" sqref="A2"/>
    </sheetView>
  </sheetViews>
  <sheetFormatPr defaultRowHeight="12.75" x14ac:dyDescent="0.2"/>
  <cols>
    <col min="1" max="1" width="41.28515625" bestFit="1" customWidth="1"/>
    <col min="11" max="11" width="2.7109375" customWidth="1"/>
    <col min="12" max="12" width="17.42578125" style="787" bestFit="1" customWidth="1"/>
    <col min="13" max="13" width="11.85546875" bestFit="1" customWidth="1"/>
    <col min="14" max="47" width="11.85546875" customWidth="1"/>
    <col min="48" max="48" width="11.85546875" bestFit="1" customWidth="1"/>
    <col min="49" max="49" width="11" bestFit="1" customWidth="1"/>
    <col min="51" max="51" width="15.5703125" bestFit="1" customWidth="1"/>
    <col min="52" max="52" width="15.5703125" customWidth="1"/>
    <col min="53" max="53" width="20.7109375" bestFit="1" customWidth="1"/>
  </cols>
  <sheetData>
    <row r="1" spans="1:64" x14ac:dyDescent="0.2">
      <c r="A1" t="s">
        <v>2601</v>
      </c>
      <c r="B1" t="s">
        <v>3481</v>
      </c>
      <c r="C1" t="s">
        <v>3480</v>
      </c>
      <c r="D1" t="s">
        <v>2602</v>
      </c>
      <c r="E1" t="s">
        <v>1192</v>
      </c>
      <c r="F1" t="s">
        <v>1193</v>
      </c>
      <c r="G1">
        <v>55</v>
      </c>
      <c r="H1">
        <v>50</v>
      </c>
      <c r="I1">
        <v>45</v>
      </c>
      <c r="J1" t="s">
        <v>1503</v>
      </c>
      <c r="L1" t="s">
        <v>2400</v>
      </c>
      <c r="M1" s="1026" t="str">
        <f>'Form N1'!E4</f>
        <v>Nevada</v>
      </c>
      <c r="N1" s="1038" t="str">
        <f>L1</f>
        <v>Alabama</v>
      </c>
      <c r="O1" s="1038" t="str">
        <f>L2</f>
        <v>Alaska</v>
      </c>
      <c r="P1" s="1038" t="str">
        <f>L3</f>
        <v>Arizona</v>
      </c>
      <c r="Q1" s="1038" t="str">
        <f>L4</f>
        <v>Arkansas</v>
      </c>
      <c r="R1" s="1038" t="str">
        <f>L5</f>
        <v>California</v>
      </c>
      <c r="S1" s="1038" t="str">
        <f>L6</f>
        <v>Colorado</v>
      </c>
      <c r="T1" s="1038" t="str">
        <f>L7</f>
        <v>Connecticut</v>
      </c>
      <c r="U1" s="1038" t="str">
        <f>L8</f>
        <v>Delaware</v>
      </c>
      <c r="V1" s="1038" t="str">
        <f>L9</f>
        <v>District of Columbia</v>
      </c>
      <c r="W1" s="1038" t="str">
        <f>L10</f>
        <v>Florida</v>
      </c>
      <c r="X1" s="1038" t="str">
        <f>L11</f>
        <v>Georgia</v>
      </c>
      <c r="Y1" s="1038" t="str">
        <f>L12</f>
        <v>Hawaii</v>
      </c>
      <c r="Z1" s="1038" t="str">
        <f>L13</f>
        <v>Idaho</v>
      </c>
      <c r="AA1" s="1038" t="str">
        <f>L14</f>
        <v>Illinois</v>
      </c>
      <c r="AB1" s="1038" t="str">
        <f>L15</f>
        <v>Indiana</v>
      </c>
      <c r="AC1" s="1038" t="str">
        <f>L16</f>
        <v>Iowa</v>
      </c>
      <c r="AD1" s="1038" t="str">
        <f>L17</f>
        <v>Kansas</v>
      </c>
      <c r="AE1" s="1038" t="str">
        <f>L18</f>
        <v>Kentucky</v>
      </c>
      <c r="AF1" s="1038" t="str">
        <f>L19</f>
        <v>Louisiana</v>
      </c>
      <c r="AG1" s="1038" t="str">
        <f>L20</f>
        <v>Maine</v>
      </c>
      <c r="AH1" s="1038" t="str">
        <f>L21</f>
        <v>Maryland</v>
      </c>
      <c r="AI1" s="1038" t="str">
        <f>L22</f>
        <v>Massachusetts</v>
      </c>
      <c r="AJ1" s="1038" t="str">
        <f>L23</f>
        <v>Michigan</v>
      </c>
      <c r="AK1" s="1038" t="str">
        <f>L24</f>
        <v>Minnesota</v>
      </c>
      <c r="AL1" s="1038" t="str">
        <f>L25</f>
        <v>Mississippi</v>
      </c>
      <c r="AM1" s="1038" t="str">
        <f>L26</f>
        <v>Missouri</v>
      </c>
      <c r="AN1" s="1038" t="str">
        <f>L27</f>
        <v>Montana</v>
      </c>
      <c r="AO1" s="1038" t="str">
        <f>L28</f>
        <v>Nebraska</v>
      </c>
      <c r="AP1" s="1038" t="str">
        <f>L29</f>
        <v>Nevada</v>
      </c>
      <c r="AQ1" s="1038" t="str">
        <f>L30</f>
        <v>New Hampshire</v>
      </c>
      <c r="AR1" s="1038" t="str">
        <f>L31</f>
        <v>New Jersey</v>
      </c>
      <c r="AS1" s="1038" t="str">
        <f>L32</f>
        <v>New Mexico</v>
      </c>
      <c r="AT1" s="1038" t="str">
        <f>L33</f>
        <v>New York</v>
      </c>
      <c r="AU1" s="1038" t="str">
        <f>L34</f>
        <v>North Carolina</v>
      </c>
      <c r="AV1" t="str">
        <f>L35</f>
        <v>North Dakota</v>
      </c>
      <c r="AW1" t="str">
        <f>L36</f>
        <v>Ohio</v>
      </c>
      <c r="AX1" t="str">
        <f>L37</f>
        <v>Oklahoma</v>
      </c>
      <c r="AY1" t="str">
        <f>L38</f>
        <v>Oregon</v>
      </c>
      <c r="AZ1" t="str">
        <f>L39</f>
        <v>Pennsylvania</v>
      </c>
      <c r="BA1" t="str">
        <f>L40</f>
        <v>Rhode Island</v>
      </c>
      <c r="BB1" t="str">
        <f>L41</f>
        <v>South Carolina</v>
      </c>
      <c r="BC1" t="str">
        <f>L42</f>
        <v>South Dakota</v>
      </c>
      <c r="BD1" t="str">
        <f>L43</f>
        <v>Tennessee</v>
      </c>
      <c r="BE1" t="str">
        <f>L44</f>
        <v>Texas</v>
      </c>
      <c r="BF1" t="str">
        <f>L45</f>
        <v>Utah</v>
      </c>
      <c r="BG1" t="str">
        <f>L46</f>
        <v>Vermont</v>
      </c>
      <c r="BH1" t="str">
        <f>L47</f>
        <v>Virginia</v>
      </c>
      <c r="BI1" t="str">
        <f>L48</f>
        <v>Washington</v>
      </c>
      <c r="BJ1" t="str">
        <f>L49</f>
        <v>West Virginia</v>
      </c>
      <c r="BK1" t="str">
        <f>L50</f>
        <v>Wisconsin</v>
      </c>
      <c r="BL1" t="str">
        <f>L51</f>
        <v>Wyoming</v>
      </c>
    </row>
    <row r="2" spans="1:64" x14ac:dyDescent="0.2">
      <c r="A2" s="1027" t="str">
        <f>'Form N1'!E4&amp;", "&amp;'Form N1'!E5</f>
        <v>Nevada, Las Vegas AP</v>
      </c>
      <c r="B2" s="1027">
        <f>VLOOKUP($A$2,$A$4:$J$912,2)</f>
        <v>2162</v>
      </c>
      <c r="C2" s="1027">
        <f>VLOOKUP($A$2,$A$4:$J$912,3,TRUE)</f>
        <v>36</v>
      </c>
      <c r="D2" s="1027">
        <f>VLOOKUP($A$2,$A$4:$J$912,4,TRUE)</f>
        <v>30</v>
      </c>
      <c r="E2" s="1027">
        <f>VLOOKUP($A$2,$A$4:$J$912,5,TRUE)</f>
        <v>106</v>
      </c>
      <c r="F2" s="1027">
        <f>VLOOKUP($A$2,$A$4:$J$912,6,TRUE)</f>
        <v>66</v>
      </c>
      <c r="G2" s="1027">
        <f>VLOOKUP($A$2,$A$4:$J$912,7,TRUE)</f>
        <v>-39</v>
      </c>
      <c r="H2" s="1027">
        <f>VLOOKUP($A$2,$A$4:$J$912,8,TRUE)</f>
        <v>-32</v>
      </c>
      <c r="I2" s="1027">
        <f>VLOOKUP($A$2,$A$4:$J$912,9,TRUE)</f>
        <v>-26</v>
      </c>
      <c r="J2" s="1027" t="str">
        <f>VLOOKUP($A$2,$A$4:$J$912,10,TRUE)</f>
        <v>H</v>
      </c>
      <c r="K2">
        <v>2</v>
      </c>
      <c r="L2" t="s">
        <v>2401</v>
      </c>
      <c r="M2" t="str">
        <f>HLOOKUP($M$1,$N$1:$BL$74,K2)</f>
        <v>Carson City</v>
      </c>
      <c r="N2" t="s">
        <v>864</v>
      </c>
      <c r="O2" t="s">
        <v>733</v>
      </c>
      <c r="P2" t="s">
        <v>1641</v>
      </c>
      <c r="Q2" t="s">
        <v>1654</v>
      </c>
      <c r="R2" t="s">
        <v>1664</v>
      </c>
      <c r="S2" t="s">
        <v>1771</v>
      </c>
      <c r="T2" t="s">
        <v>1787</v>
      </c>
      <c r="U2" t="s">
        <v>1794</v>
      </c>
      <c r="V2" t="s">
        <v>1796</v>
      </c>
      <c r="W2" t="s">
        <v>1798</v>
      </c>
      <c r="X2" t="s">
        <v>1830</v>
      </c>
      <c r="Y2" t="s">
        <v>1851</v>
      </c>
      <c r="Z2" t="s">
        <v>1859</v>
      </c>
      <c r="AA2" t="s">
        <v>1870</v>
      </c>
      <c r="AB2" t="s">
        <v>3711</v>
      </c>
      <c r="AC2" t="s">
        <v>1970</v>
      </c>
      <c r="AD2" t="s">
        <v>1988</v>
      </c>
      <c r="AE2" t="s">
        <v>2006</v>
      </c>
      <c r="AF2" t="s">
        <v>2018</v>
      </c>
      <c r="AG2" t="s">
        <v>1833</v>
      </c>
      <c r="AH2" t="s">
        <v>758</v>
      </c>
      <c r="AI2" t="s">
        <v>765</v>
      </c>
      <c r="AJ2" t="s">
        <v>779</v>
      </c>
      <c r="AK2" t="s">
        <v>3451</v>
      </c>
      <c r="AL2" t="s">
        <v>3124</v>
      </c>
      <c r="AM2" t="s">
        <v>3136</v>
      </c>
      <c r="AN2" t="s">
        <v>3155</v>
      </c>
      <c r="AO2" t="s">
        <v>3169</v>
      </c>
      <c r="AP2" t="s">
        <v>3185</v>
      </c>
      <c r="AQ2" t="s">
        <v>1930</v>
      </c>
      <c r="AR2" t="s">
        <v>1939</v>
      </c>
      <c r="AS2" t="s">
        <v>1949</v>
      </c>
      <c r="AT2" t="s">
        <v>110</v>
      </c>
      <c r="AU2" t="s">
        <v>145</v>
      </c>
      <c r="AV2" t="s">
        <v>1197</v>
      </c>
      <c r="AW2" t="s">
        <v>1198</v>
      </c>
      <c r="AX2" t="s">
        <v>2419</v>
      </c>
      <c r="AY2" t="s">
        <v>2290</v>
      </c>
      <c r="AZ2" t="s">
        <v>4034</v>
      </c>
      <c r="BA2" t="s">
        <v>4058</v>
      </c>
      <c r="BB2" t="s">
        <v>3711</v>
      </c>
      <c r="BC2" t="s">
        <v>4070</v>
      </c>
      <c r="BD2" t="s">
        <v>2874</v>
      </c>
      <c r="BE2" t="s">
        <v>4091</v>
      </c>
      <c r="BF2" t="s">
        <v>630</v>
      </c>
      <c r="BG2" t="s">
        <v>640</v>
      </c>
      <c r="BH2" t="s">
        <v>643</v>
      </c>
      <c r="BI2" t="s">
        <v>659</v>
      </c>
      <c r="BJ2" t="s">
        <v>680</v>
      </c>
      <c r="BK2" t="s">
        <v>690</v>
      </c>
      <c r="BL2" t="s">
        <v>705</v>
      </c>
    </row>
    <row r="3" spans="1:64" x14ac:dyDescent="0.2">
      <c r="A3" s="1028" t="s">
        <v>1199</v>
      </c>
      <c r="K3">
        <v>3</v>
      </c>
      <c r="L3" t="s">
        <v>2402</v>
      </c>
      <c r="M3" t="str">
        <f>HLOOKUP($M$1,$N$1:$BL$74,K3)</f>
        <v>Elko AP</v>
      </c>
      <c r="N3" t="s">
        <v>865</v>
      </c>
      <c r="O3" t="s">
        <v>734</v>
      </c>
      <c r="P3" t="s">
        <v>1642</v>
      </c>
      <c r="Q3" t="s">
        <v>1655</v>
      </c>
      <c r="R3" t="s">
        <v>1665</v>
      </c>
      <c r="S3" t="s">
        <v>1772</v>
      </c>
      <c r="T3" t="s">
        <v>1788</v>
      </c>
      <c r="U3" t="s">
        <v>1795</v>
      </c>
      <c r="V3" t="s">
        <v>1797</v>
      </c>
      <c r="W3" t="s">
        <v>1799</v>
      </c>
      <c r="X3" t="s">
        <v>1831</v>
      </c>
      <c r="Y3" t="s">
        <v>1852</v>
      </c>
      <c r="Z3" t="s">
        <v>1860</v>
      </c>
      <c r="AA3" t="s">
        <v>1871</v>
      </c>
      <c r="AB3" t="s">
        <v>3712</v>
      </c>
      <c r="AC3" t="s">
        <v>1971</v>
      </c>
      <c r="AD3" t="s">
        <v>1989</v>
      </c>
      <c r="AE3" t="s">
        <v>2007</v>
      </c>
      <c r="AF3" t="s">
        <v>2019</v>
      </c>
      <c r="AG3" t="s">
        <v>2179</v>
      </c>
      <c r="AH3" t="s">
        <v>759</v>
      </c>
      <c r="AI3" t="s">
        <v>1973</v>
      </c>
      <c r="AJ3" t="s">
        <v>780</v>
      </c>
      <c r="AK3" t="s">
        <v>2018</v>
      </c>
      <c r="AL3" t="s">
        <v>3125</v>
      </c>
      <c r="AM3" t="s">
        <v>3137</v>
      </c>
      <c r="AN3" t="s">
        <v>3156</v>
      </c>
      <c r="AO3" t="s">
        <v>3170</v>
      </c>
      <c r="AP3" t="s">
        <v>3186</v>
      </c>
      <c r="AQ3" t="s">
        <v>1931</v>
      </c>
      <c r="AR3" t="s">
        <v>1940</v>
      </c>
      <c r="AS3" t="s">
        <v>1950</v>
      </c>
      <c r="AT3" t="s">
        <v>111</v>
      </c>
      <c r="AU3" t="s">
        <v>146</v>
      </c>
      <c r="AV3" t="s">
        <v>2411</v>
      </c>
      <c r="AW3" t="s">
        <v>2873</v>
      </c>
      <c r="AX3" t="s">
        <v>1200</v>
      </c>
      <c r="AY3" t="s">
        <v>2291</v>
      </c>
      <c r="AZ3" t="s">
        <v>4035</v>
      </c>
      <c r="BA3" t="s">
        <v>4059</v>
      </c>
      <c r="BB3" t="s">
        <v>4060</v>
      </c>
      <c r="BC3" t="s">
        <v>4071</v>
      </c>
      <c r="BD3" t="s">
        <v>4080</v>
      </c>
      <c r="BE3" t="s">
        <v>4092</v>
      </c>
      <c r="BF3" t="s">
        <v>631</v>
      </c>
      <c r="BG3" t="s">
        <v>1971</v>
      </c>
      <c r="BH3" t="s">
        <v>644</v>
      </c>
      <c r="BI3" t="s">
        <v>660</v>
      </c>
      <c r="BJ3" t="s">
        <v>681</v>
      </c>
      <c r="BK3" t="s">
        <v>2006</v>
      </c>
      <c r="BL3" t="s">
        <v>706</v>
      </c>
    </row>
    <row r="4" spans="1:64" x14ac:dyDescent="0.2">
      <c r="A4" t="s">
        <v>2527</v>
      </c>
      <c r="B4">
        <v>686</v>
      </c>
      <c r="C4">
        <v>33</v>
      </c>
      <c r="D4">
        <v>22</v>
      </c>
      <c r="E4">
        <v>93</v>
      </c>
      <c r="F4">
        <v>76</v>
      </c>
      <c r="G4">
        <v>39</v>
      </c>
      <c r="H4">
        <v>46</v>
      </c>
      <c r="I4">
        <v>52</v>
      </c>
      <c r="J4" t="s">
        <v>3747</v>
      </c>
      <c r="K4">
        <v>4</v>
      </c>
      <c r="L4" t="s">
        <v>2403</v>
      </c>
      <c r="M4" t="str">
        <f>HLOOKUP($M$1,$N$1:$BL$74,K4)</f>
        <v>Ely AP</v>
      </c>
      <c r="N4" t="s">
        <v>866</v>
      </c>
      <c r="O4" t="s">
        <v>735</v>
      </c>
      <c r="P4" t="s">
        <v>1643</v>
      </c>
      <c r="Q4" t="s">
        <v>1656</v>
      </c>
      <c r="R4" t="s">
        <v>1666</v>
      </c>
      <c r="S4" t="s">
        <v>1773</v>
      </c>
      <c r="T4" t="s">
        <v>1789</v>
      </c>
      <c r="W4" t="s">
        <v>1800</v>
      </c>
      <c r="X4" t="s">
        <v>2874</v>
      </c>
      <c r="Y4" t="s">
        <v>1853</v>
      </c>
      <c r="Z4" t="s">
        <v>1861</v>
      </c>
      <c r="AA4" t="s">
        <v>1872</v>
      </c>
      <c r="AB4" t="s">
        <v>1872</v>
      </c>
      <c r="AC4" t="s">
        <v>1972</v>
      </c>
      <c r="AD4" t="s">
        <v>1990</v>
      </c>
      <c r="AE4" t="s">
        <v>2008</v>
      </c>
      <c r="AF4" t="s">
        <v>2020</v>
      </c>
      <c r="AG4" t="s">
        <v>2180</v>
      </c>
      <c r="AH4" t="s">
        <v>760</v>
      </c>
      <c r="AI4" t="s">
        <v>766</v>
      </c>
      <c r="AJ4" t="s">
        <v>781</v>
      </c>
      <c r="AK4" t="s">
        <v>3452</v>
      </c>
      <c r="AL4" t="s">
        <v>3126</v>
      </c>
      <c r="AM4" t="s">
        <v>3138</v>
      </c>
      <c r="AN4" t="s">
        <v>3157</v>
      </c>
      <c r="AO4" t="s">
        <v>3171</v>
      </c>
      <c r="AP4" t="s">
        <v>3187</v>
      </c>
      <c r="AQ4" t="s">
        <v>1932</v>
      </c>
      <c r="AR4" t="s">
        <v>1941</v>
      </c>
      <c r="AS4" t="s">
        <v>1951</v>
      </c>
      <c r="AT4" t="s">
        <v>866</v>
      </c>
      <c r="AU4" t="s">
        <v>147</v>
      </c>
      <c r="AV4" t="s">
        <v>2412</v>
      </c>
      <c r="AW4" t="s">
        <v>2874</v>
      </c>
      <c r="AX4" t="s">
        <v>2420</v>
      </c>
      <c r="AY4" t="s">
        <v>2292</v>
      </c>
      <c r="AZ4" t="s">
        <v>4036</v>
      </c>
      <c r="BB4" t="s">
        <v>4061</v>
      </c>
      <c r="BC4" t="s">
        <v>4072</v>
      </c>
      <c r="BD4" t="s">
        <v>4081</v>
      </c>
      <c r="BE4" t="s">
        <v>4093</v>
      </c>
      <c r="BF4" t="s">
        <v>632</v>
      </c>
      <c r="BG4" t="s">
        <v>641</v>
      </c>
      <c r="BH4" t="s">
        <v>645</v>
      </c>
      <c r="BI4" t="s">
        <v>661</v>
      </c>
      <c r="BJ4" t="s">
        <v>682</v>
      </c>
      <c r="BK4" t="s">
        <v>691</v>
      </c>
      <c r="BL4" t="s">
        <v>707</v>
      </c>
    </row>
    <row r="5" spans="1:64" x14ac:dyDescent="0.2">
      <c r="A5" t="s">
        <v>2528</v>
      </c>
      <c r="B5">
        <v>612</v>
      </c>
      <c r="C5">
        <v>33</v>
      </c>
      <c r="D5">
        <v>24</v>
      </c>
      <c r="E5">
        <v>93</v>
      </c>
      <c r="F5">
        <v>76</v>
      </c>
      <c r="G5">
        <v>39</v>
      </c>
      <c r="H5">
        <v>46</v>
      </c>
      <c r="I5">
        <v>52</v>
      </c>
      <c r="J5" t="s">
        <v>3747</v>
      </c>
      <c r="K5">
        <v>5</v>
      </c>
      <c r="L5" t="s">
        <v>1571</v>
      </c>
      <c r="M5" t="str">
        <f t="shared" ref="M5:M68" si="0">HLOOKUP($M$1,$N$1:$BL$74,K5)</f>
        <v>Las Vegas AP</v>
      </c>
      <c r="N5" t="s">
        <v>867</v>
      </c>
      <c r="O5" t="s">
        <v>736</v>
      </c>
      <c r="P5" t="s">
        <v>1644</v>
      </c>
      <c r="Q5" t="s">
        <v>1657</v>
      </c>
      <c r="R5" t="s">
        <v>1877</v>
      </c>
      <c r="S5" t="s">
        <v>1774</v>
      </c>
      <c r="T5" t="s">
        <v>1790</v>
      </c>
      <c r="W5" t="s">
        <v>1801</v>
      </c>
      <c r="X5" t="s">
        <v>1832</v>
      </c>
      <c r="Y5" t="s">
        <v>1854</v>
      </c>
      <c r="Z5" t="s">
        <v>1862</v>
      </c>
      <c r="AA5" t="s">
        <v>3684</v>
      </c>
      <c r="AB5" t="s">
        <v>3713</v>
      </c>
      <c r="AC5" t="s">
        <v>1973</v>
      </c>
      <c r="AD5" t="s">
        <v>1991</v>
      </c>
      <c r="AE5" t="s">
        <v>2009</v>
      </c>
      <c r="AF5" t="s">
        <v>2021</v>
      </c>
      <c r="AG5" t="s">
        <v>2181</v>
      </c>
      <c r="AH5" t="s">
        <v>761</v>
      </c>
      <c r="AI5" t="s">
        <v>767</v>
      </c>
      <c r="AJ5" t="s">
        <v>782</v>
      </c>
      <c r="AK5" t="s">
        <v>3453</v>
      </c>
      <c r="AL5" t="s">
        <v>3127</v>
      </c>
      <c r="AM5" t="s">
        <v>3139</v>
      </c>
      <c r="AN5" t="s">
        <v>3158</v>
      </c>
      <c r="AO5" t="s">
        <v>3172</v>
      </c>
      <c r="AP5" t="s">
        <v>3188</v>
      </c>
      <c r="AQ5" t="s">
        <v>1933</v>
      </c>
      <c r="AR5" t="s">
        <v>1942</v>
      </c>
      <c r="AS5" t="s">
        <v>1952</v>
      </c>
      <c r="AT5" t="s">
        <v>112</v>
      </c>
      <c r="AU5" t="s">
        <v>148</v>
      </c>
      <c r="AV5" t="s">
        <v>2413</v>
      </c>
      <c r="AW5" t="s">
        <v>2875</v>
      </c>
      <c r="AX5" t="s">
        <v>2421</v>
      </c>
      <c r="AY5" t="s">
        <v>2293</v>
      </c>
      <c r="AZ5" t="s">
        <v>4037</v>
      </c>
      <c r="BB5" t="s">
        <v>4062</v>
      </c>
      <c r="BC5" t="s">
        <v>4073</v>
      </c>
      <c r="BD5" t="s">
        <v>4082</v>
      </c>
      <c r="BE5" t="s">
        <v>4094</v>
      </c>
      <c r="BF5" t="s">
        <v>633</v>
      </c>
      <c r="BG5" t="s">
        <v>642</v>
      </c>
      <c r="BH5" t="s">
        <v>646</v>
      </c>
      <c r="BI5" t="s">
        <v>662</v>
      </c>
      <c r="BJ5" t="s">
        <v>683</v>
      </c>
      <c r="BK5" t="s">
        <v>692</v>
      </c>
      <c r="BL5" t="s">
        <v>708</v>
      </c>
    </row>
    <row r="6" spans="1:64" x14ac:dyDescent="0.2">
      <c r="A6" t="s">
        <v>2529</v>
      </c>
      <c r="B6">
        <v>776</v>
      </c>
      <c r="C6">
        <v>32</v>
      </c>
      <c r="D6">
        <v>22</v>
      </c>
      <c r="E6">
        <v>93</v>
      </c>
      <c r="F6">
        <v>76</v>
      </c>
      <c r="G6">
        <v>39</v>
      </c>
      <c r="H6">
        <v>46</v>
      </c>
      <c r="I6">
        <v>52</v>
      </c>
      <c r="J6" t="s">
        <v>3747</v>
      </c>
      <c r="K6">
        <v>6</v>
      </c>
      <c r="L6" t="s">
        <v>1572</v>
      </c>
      <c r="M6" t="str">
        <f t="shared" si="0"/>
        <v>Lovelock AP</v>
      </c>
      <c r="N6" t="s">
        <v>868</v>
      </c>
      <c r="O6" t="s">
        <v>737</v>
      </c>
      <c r="P6" t="s">
        <v>1645</v>
      </c>
      <c r="Q6" t="s">
        <v>1658</v>
      </c>
      <c r="R6" t="s">
        <v>1878</v>
      </c>
      <c r="S6" t="s">
        <v>1775</v>
      </c>
      <c r="T6" t="s">
        <v>2994</v>
      </c>
      <c r="W6" t="s">
        <v>1802</v>
      </c>
      <c r="X6" t="s">
        <v>1833</v>
      </c>
      <c r="Y6" t="s">
        <v>1855</v>
      </c>
      <c r="Z6" t="s">
        <v>1863</v>
      </c>
      <c r="AA6" t="s">
        <v>3685</v>
      </c>
      <c r="AB6" t="s">
        <v>3714</v>
      </c>
      <c r="AC6" t="s">
        <v>1974</v>
      </c>
      <c r="AD6" t="s">
        <v>1992</v>
      </c>
      <c r="AE6" t="s">
        <v>2010</v>
      </c>
      <c r="AF6" t="s">
        <v>2022</v>
      </c>
      <c r="AG6" t="s">
        <v>2182</v>
      </c>
      <c r="AH6" t="s">
        <v>762</v>
      </c>
      <c r="AI6" t="s">
        <v>768</v>
      </c>
      <c r="AJ6" t="s">
        <v>783</v>
      </c>
      <c r="AK6" t="s">
        <v>3454</v>
      </c>
      <c r="AL6" t="s">
        <v>3128</v>
      </c>
      <c r="AM6" t="s">
        <v>3140</v>
      </c>
      <c r="AN6" t="s">
        <v>3159</v>
      </c>
      <c r="AO6" t="s">
        <v>342</v>
      </c>
      <c r="AP6" t="s">
        <v>3189</v>
      </c>
      <c r="AQ6" t="s">
        <v>1934</v>
      </c>
      <c r="AR6" t="s">
        <v>1943</v>
      </c>
      <c r="AS6" t="s">
        <v>1953</v>
      </c>
      <c r="AT6" t="s">
        <v>113</v>
      </c>
      <c r="AU6" t="s">
        <v>149</v>
      </c>
      <c r="AV6" t="s">
        <v>2414</v>
      </c>
      <c r="AW6" t="s">
        <v>2876</v>
      </c>
      <c r="AX6" t="s">
        <v>2422</v>
      </c>
      <c r="AY6" t="s">
        <v>2294</v>
      </c>
      <c r="AZ6" t="s">
        <v>4038</v>
      </c>
      <c r="BB6" t="s">
        <v>3137</v>
      </c>
      <c r="BC6" t="s">
        <v>4074</v>
      </c>
      <c r="BD6" t="s">
        <v>4083</v>
      </c>
      <c r="BE6" t="s">
        <v>4095</v>
      </c>
      <c r="BF6" t="s">
        <v>634</v>
      </c>
      <c r="BH6" t="s">
        <v>647</v>
      </c>
      <c r="BI6" t="s">
        <v>663</v>
      </c>
      <c r="BJ6" t="s">
        <v>684</v>
      </c>
      <c r="BK6" t="s">
        <v>693</v>
      </c>
      <c r="BL6" t="s">
        <v>709</v>
      </c>
    </row>
    <row r="7" spans="1:64" x14ac:dyDescent="0.2">
      <c r="A7" t="s">
        <v>2530</v>
      </c>
      <c r="B7">
        <v>644</v>
      </c>
      <c r="C7">
        <v>33</v>
      </c>
      <c r="D7">
        <v>23</v>
      </c>
      <c r="E7">
        <v>92</v>
      </c>
      <c r="F7">
        <v>75</v>
      </c>
      <c r="G7">
        <v>34</v>
      </c>
      <c r="H7">
        <v>41</v>
      </c>
      <c r="I7">
        <v>47</v>
      </c>
      <c r="J7" t="s">
        <v>3747</v>
      </c>
      <c r="K7">
        <v>7</v>
      </c>
      <c r="L7" t="s">
        <v>1573</v>
      </c>
      <c r="M7" t="str">
        <f t="shared" si="0"/>
        <v xml:space="preserve">Mercury </v>
      </c>
      <c r="N7" t="s">
        <v>869</v>
      </c>
      <c r="O7" t="s">
        <v>738</v>
      </c>
      <c r="P7" t="s">
        <v>1646</v>
      </c>
      <c r="Q7" t="s">
        <v>1659</v>
      </c>
      <c r="R7" t="s">
        <v>1879</v>
      </c>
      <c r="S7" t="s">
        <v>1776</v>
      </c>
      <c r="T7" t="s">
        <v>1791</v>
      </c>
      <c r="W7" t="s">
        <v>1803</v>
      </c>
      <c r="X7" t="s">
        <v>1834</v>
      </c>
      <c r="Y7" t="s">
        <v>1856</v>
      </c>
      <c r="Z7" t="s">
        <v>1864</v>
      </c>
      <c r="AA7" t="s">
        <v>3686</v>
      </c>
      <c r="AB7" t="s">
        <v>3715</v>
      </c>
      <c r="AC7" t="s">
        <v>1975</v>
      </c>
      <c r="AD7" t="s">
        <v>1993</v>
      </c>
      <c r="AE7" t="s">
        <v>2011</v>
      </c>
      <c r="AF7" t="s">
        <v>2023</v>
      </c>
      <c r="AG7" t="s">
        <v>2183</v>
      </c>
      <c r="AH7" t="s">
        <v>763</v>
      </c>
      <c r="AI7" t="s">
        <v>769</v>
      </c>
      <c r="AJ7" t="s">
        <v>784</v>
      </c>
      <c r="AK7" t="s">
        <v>3455</v>
      </c>
      <c r="AL7" t="s">
        <v>3129</v>
      </c>
      <c r="AM7" t="s">
        <v>3141</v>
      </c>
      <c r="AN7" t="s">
        <v>3160</v>
      </c>
      <c r="AO7" t="s">
        <v>3173</v>
      </c>
      <c r="AP7" t="s">
        <v>3190</v>
      </c>
      <c r="AQ7" t="s">
        <v>1935</v>
      </c>
      <c r="AR7" t="s">
        <v>1944</v>
      </c>
      <c r="AS7" t="s">
        <v>1954</v>
      </c>
      <c r="AT7" t="s">
        <v>114</v>
      </c>
      <c r="AU7" t="s">
        <v>150</v>
      </c>
      <c r="AV7" t="s">
        <v>2415</v>
      </c>
      <c r="AW7" t="s">
        <v>2877</v>
      </c>
      <c r="AX7" t="s">
        <v>2278</v>
      </c>
      <c r="AY7" t="s">
        <v>2295</v>
      </c>
      <c r="AZ7" t="s">
        <v>4039</v>
      </c>
      <c r="BB7" t="s">
        <v>870</v>
      </c>
      <c r="BC7" t="s">
        <v>4075</v>
      </c>
      <c r="BD7" t="s">
        <v>4084</v>
      </c>
      <c r="BE7" t="s">
        <v>4096</v>
      </c>
      <c r="BF7" t="s">
        <v>635</v>
      </c>
      <c r="BH7" t="s">
        <v>648</v>
      </c>
      <c r="BI7" t="s">
        <v>664</v>
      </c>
      <c r="BJ7" t="s">
        <v>685</v>
      </c>
      <c r="BK7" t="s">
        <v>694</v>
      </c>
      <c r="BL7" t="s">
        <v>710</v>
      </c>
    </row>
    <row r="8" spans="1:64" x14ac:dyDescent="0.2">
      <c r="A8" t="s">
        <v>2531</v>
      </c>
      <c r="B8">
        <v>592</v>
      </c>
      <c r="C8">
        <v>34</v>
      </c>
      <c r="D8">
        <v>16</v>
      </c>
      <c r="E8">
        <v>93</v>
      </c>
      <c r="F8">
        <v>74</v>
      </c>
      <c r="G8">
        <v>27</v>
      </c>
      <c r="H8">
        <v>34</v>
      </c>
      <c r="I8">
        <v>40</v>
      </c>
      <c r="J8" t="s">
        <v>3747</v>
      </c>
      <c r="K8">
        <v>8</v>
      </c>
      <c r="L8" t="s">
        <v>1574</v>
      </c>
      <c r="M8" t="str">
        <f t="shared" si="0"/>
        <v>North Las Vega , Nellis AFB</v>
      </c>
      <c r="N8" t="s">
        <v>870</v>
      </c>
      <c r="O8" t="s">
        <v>739</v>
      </c>
      <c r="P8" t="s">
        <v>1647</v>
      </c>
      <c r="Q8" t="s">
        <v>1660</v>
      </c>
      <c r="R8" t="s">
        <v>1880</v>
      </c>
      <c r="S8" t="s">
        <v>1777</v>
      </c>
      <c r="T8" t="s">
        <v>1792</v>
      </c>
      <c r="W8" t="s">
        <v>1804</v>
      </c>
      <c r="X8" t="s">
        <v>1835</v>
      </c>
      <c r="Y8" t="s">
        <v>1857</v>
      </c>
      <c r="Z8" t="s">
        <v>1865</v>
      </c>
      <c r="AA8" t="s">
        <v>3687</v>
      </c>
      <c r="AB8" t="s">
        <v>3716</v>
      </c>
      <c r="AC8" t="s">
        <v>1976</v>
      </c>
      <c r="AD8" t="s">
        <v>1994</v>
      </c>
      <c r="AE8" t="s">
        <v>2012</v>
      </c>
      <c r="AF8" t="s">
        <v>2024</v>
      </c>
      <c r="AG8" t="s">
        <v>2184</v>
      </c>
      <c r="AH8" t="s">
        <v>764</v>
      </c>
      <c r="AI8" t="s">
        <v>770</v>
      </c>
      <c r="AJ8" t="s">
        <v>785</v>
      </c>
      <c r="AK8" t="s">
        <v>3456</v>
      </c>
      <c r="AL8" t="s">
        <v>3434</v>
      </c>
      <c r="AM8" t="s">
        <v>3142</v>
      </c>
      <c r="AN8" t="s">
        <v>3161</v>
      </c>
      <c r="AO8" t="s">
        <v>3174</v>
      </c>
      <c r="AP8" t="s">
        <v>3191</v>
      </c>
      <c r="AQ8" t="s">
        <v>1936</v>
      </c>
      <c r="AR8" t="s">
        <v>1945</v>
      </c>
      <c r="AS8" t="s">
        <v>3138</v>
      </c>
      <c r="AT8" t="s">
        <v>115</v>
      </c>
      <c r="AU8" t="s">
        <v>151</v>
      </c>
      <c r="AV8" t="s">
        <v>2416</v>
      </c>
      <c r="AW8" t="s">
        <v>2878</v>
      </c>
      <c r="AX8" t="s">
        <v>2279</v>
      </c>
      <c r="AY8" t="s">
        <v>3342</v>
      </c>
      <c r="AZ8" t="s">
        <v>4040</v>
      </c>
      <c r="BB8" t="s">
        <v>4063</v>
      </c>
      <c r="BC8" t="s">
        <v>4076</v>
      </c>
      <c r="BD8" t="s">
        <v>4085</v>
      </c>
      <c r="BE8" t="s">
        <v>4097</v>
      </c>
      <c r="BF8" t="s">
        <v>636</v>
      </c>
      <c r="BH8" t="s">
        <v>649</v>
      </c>
      <c r="BI8" t="s">
        <v>665</v>
      </c>
      <c r="BJ8" t="s">
        <v>686</v>
      </c>
      <c r="BK8" t="s">
        <v>695</v>
      </c>
      <c r="BL8" t="s">
        <v>2539</v>
      </c>
    </row>
    <row r="9" spans="1:64" x14ac:dyDescent="0.2">
      <c r="A9" t="s">
        <v>2532</v>
      </c>
      <c r="B9">
        <v>401</v>
      </c>
      <c r="C9">
        <v>31</v>
      </c>
      <c r="D9">
        <v>32</v>
      </c>
      <c r="E9">
        <v>93</v>
      </c>
      <c r="F9">
        <v>76</v>
      </c>
      <c r="G9">
        <v>39</v>
      </c>
      <c r="H9">
        <v>46</v>
      </c>
      <c r="I9">
        <v>52</v>
      </c>
      <c r="J9" t="s">
        <v>3747</v>
      </c>
      <c r="K9">
        <v>9</v>
      </c>
      <c r="L9" t="s">
        <v>1575</v>
      </c>
      <c r="M9" t="str">
        <f t="shared" si="0"/>
        <v>Reno AP</v>
      </c>
      <c r="N9" t="s">
        <v>871</v>
      </c>
      <c r="O9" t="s">
        <v>740</v>
      </c>
      <c r="P9" t="s">
        <v>1648</v>
      </c>
      <c r="Q9" t="s">
        <v>1661</v>
      </c>
      <c r="R9" t="s">
        <v>1881</v>
      </c>
      <c r="S9" t="s">
        <v>1778</v>
      </c>
      <c r="T9" t="s">
        <v>1793</v>
      </c>
      <c r="W9" t="s">
        <v>1805</v>
      </c>
      <c r="X9" t="s">
        <v>1836</v>
      </c>
      <c r="Y9" t="s">
        <v>1858</v>
      </c>
      <c r="Z9" t="s">
        <v>1866</v>
      </c>
      <c r="AA9" t="s">
        <v>3688</v>
      </c>
      <c r="AB9" t="s">
        <v>3717</v>
      </c>
      <c r="AC9" t="s">
        <v>1977</v>
      </c>
      <c r="AD9" t="s">
        <v>1995</v>
      </c>
      <c r="AE9" t="s">
        <v>2013</v>
      </c>
      <c r="AF9" t="s">
        <v>2025</v>
      </c>
      <c r="AG9" t="s">
        <v>2185</v>
      </c>
      <c r="AI9" t="s">
        <v>771</v>
      </c>
      <c r="AJ9" t="s">
        <v>786</v>
      </c>
      <c r="AK9" t="s">
        <v>3457</v>
      </c>
      <c r="AL9" t="s">
        <v>3130</v>
      </c>
      <c r="AM9" t="s">
        <v>3143</v>
      </c>
      <c r="AN9" t="s">
        <v>3162</v>
      </c>
      <c r="AO9" t="s">
        <v>3175</v>
      </c>
      <c r="AP9" t="s">
        <v>1926</v>
      </c>
      <c r="AQ9" t="s">
        <v>1937</v>
      </c>
      <c r="AR9" t="s">
        <v>1946</v>
      </c>
      <c r="AS9" t="s">
        <v>98</v>
      </c>
      <c r="AT9" t="s">
        <v>116</v>
      </c>
      <c r="AU9" t="s">
        <v>152</v>
      </c>
      <c r="AV9" t="s">
        <v>2417</v>
      </c>
      <c r="AW9" t="s">
        <v>2879</v>
      </c>
      <c r="AX9" t="s">
        <v>2280</v>
      </c>
      <c r="AY9" t="s">
        <v>3343</v>
      </c>
      <c r="AZ9" t="s">
        <v>4041</v>
      </c>
      <c r="BB9" t="s">
        <v>4064</v>
      </c>
      <c r="BC9" t="s">
        <v>4077</v>
      </c>
      <c r="BD9" t="s">
        <v>3696</v>
      </c>
      <c r="BE9" t="s">
        <v>4098</v>
      </c>
      <c r="BF9" t="s">
        <v>637</v>
      </c>
      <c r="BH9" t="s">
        <v>650</v>
      </c>
      <c r="BI9" t="s">
        <v>666</v>
      </c>
      <c r="BJ9" t="s">
        <v>687</v>
      </c>
      <c r="BK9" t="s">
        <v>696</v>
      </c>
      <c r="BL9" t="s">
        <v>2540</v>
      </c>
    </row>
    <row r="10" spans="1:64" x14ac:dyDescent="0.2">
      <c r="A10" t="s">
        <v>2533</v>
      </c>
      <c r="B10">
        <v>581</v>
      </c>
      <c r="C10">
        <v>34</v>
      </c>
      <c r="D10">
        <v>21</v>
      </c>
      <c r="E10">
        <v>94</v>
      </c>
      <c r="F10">
        <v>75</v>
      </c>
      <c r="G10">
        <v>31</v>
      </c>
      <c r="H10">
        <v>38</v>
      </c>
      <c r="I10">
        <v>44</v>
      </c>
      <c r="J10" t="s">
        <v>3747</v>
      </c>
      <c r="K10">
        <v>10</v>
      </c>
      <c r="L10" t="s">
        <v>1576</v>
      </c>
      <c r="M10" t="str">
        <f t="shared" si="0"/>
        <v>Reno CO</v>
      </c>
      <c r="N10" t="s">
        <v>872</v>
      </c>
      <c r="O10" t="s">
        <v>741</v>
      </c>
      <c r="P10" t="s">
        <v>1649</v>
      </c>
      <c r="Q10" t="s">
        <v>1662</v>
      </c>
      <c r="R10" t="s">
        <v>1882</v>
      </c>
      <c r="S10" t="s">
        <v>1779</v>
      </c>
      <c r="W10" t="s">
        <v>1806</v>
      </c>
      <c r="X10" t="s">
        <v>1837</v>
      </c>
      <c r="Z10" t="s">
        <v>1867</v>
      </c>
      <c r="AA10" t="s">
        <v>3689</v>
      </c>
      <c r="AB10" t="s">
        <v>3718</v>
      </c>
      <c r="AC10" t="s">
        <v>1978</v>
      </c>
      <c r="AD10" t="s">
        <v>1996</v>
      </c>
      <c r="AE10" t="s">
        <v>2014</v>
      </c>
      <c r="AF10" t="s">
        <v>2026</v>
      </c>
      <c r="AG10" t="s">
        <v>757</v>
      </c>
      <c r="AI10" t="s">
        <v>772</v>
      </c>
      <c r="AJ10" t="s">
        <v>787</v>
      </c>
      <c r="AK10" t="s">
        <v>3458</v>
      </c>
      <c r="AL10" t="s">
        <v>3131</v>
      </c>
      <c r="AM10" t="s">
        <v>3144</v>
      </c>
      <c r="AN10" t="s">
        <v>3163</v>
      </c>
      <c r="AO10" t="s">
        <v>3176</v>
      </c>
      <c r="AP10" t="s">
        <v>1927</v>
      </c>
      <c r="AQ10" t="s">
        <v>1938</v>
      </c>
      <c r="AR10" t="s">
        <v>1947</v>
      </c>
      <c r="AS10" t="s">
        <v>99</v>
      </c>
      <c r="AT10" t="s">
        <v>117</v>
      </c>
      <c r="AU10" t="s">
        <v>153</v>
      </c>
      <c r="AV10" t="s">
        <v>2418</v>
      </c>
      <c r="AW10" t="s">
        <v>2880</v>
      </c>
      <c r="AX10" t="s">
        <v>2281</v>
      </c>
      <c r="AY10" t="s">
        <v>3344</v>
      </c>
      <c r="AZ10" t="s">
        <v>4042</v>
      </c>
      <c r="BB10" t="s">
        <v>3128</v>
      </c>
      <c r="BC10" t="s">
        <v>4078</v>
      </c>
      <c r="BD10" t="s">
        <v>3434</v>
      </c>
      <c r="BE10" t="s">
        <v>4099</v>
      </c>
      <c r="BF10" t="s">
        <v>638</v>
      </c>
      <c r="BH10" t="s">
        <v>651</v>
      </c>
      <c r="BI10" t="s">
        <v>667</v>
      </c>
      <c r="BJ10" t="s">
        <v>688</v>
      </c>
      <c r="BK10" t="s">
        <v>697</v>
      </c>
      <c r="BL10" t="s">
        <v>2541</v>
      </c>
    </row>
    <row r="11" spans="1:64" x14ac:dyDescent="0.2">
      <c r="A11" t="s">
        <v>2534</v>
      </c>
      <c r="B11">
        <v>569</v>
      </c>
      <c r="C11">
        <v>34</v>
      </c>
      <c r="D11">
        <v>20</v>
      </c>
      <c r="E11">
        <v>94</v>
      </c>
      <c r="F11">
        <v>75</v>
      </c>
      <c r="G11">
        <v>31</v>
      </c>
      <c r="H11">
        <v>38</v>
      </c>
      <c r="I11">
        <v>44</v>
      </c>
      <c r="J11" t="s">
        <v>3747</v>
      </c>
      <c r="K11">
        <v>11</v>
      </c>
      <c r="L11" t="s">
        <v>1577</v>
      </c>
      <c r="M11" t="str">
        <f t="shared" si="0"/>
        <v>Tonapah AP</v>
      </c>
      <c r="N11" t="s">
        <v>873</v>
      </c>
      <c r="O11" t="s">
        <v>742</v>
      </c>
      <c r="P11" t="s">
        <v>1650</v>
      </c>
      <c r="Q11" t="s">
        <v>1663</v>
      </c>
      <c r="R11" t="s">
        <v>1883</v>
      </c>
      <c r="S11" t="s">
        <v>1780</v>
      </c>
      <c r="W11" t="s">
        <v>1807</v>
      </c>
      <c r="X11" t="s">
        <v>1838</v>
      </c>
      <c r="Z11" t="s">
        <v>1868</v>
      </c>
      <c r="AA11" t="s">
        <v>3690</v>
      </c>
      <c r="AB11" t="s">
        <v>3719</v>
      </c>
      <c r="AC11" t="s">
        <v>1979</v>
      </c>
      <c r="AD11" t="s">
        <v>1997</v>
      </c>
      <c r="AE11" t="s">
        <v>2015</v>
      </c>
      <c r="AF11" t="s">
        <v>2027</v>
      </c>
      <c r="AI11" t="s">
        <v>773</v>
      </c>
      <c r="AJ11" t="s">
        <v>788</v>
      </c>
      <c r="AK11" t="s">
        <v>3459</v>
      </c>
      <c r="AL11" t="s">
        <v>3132</v>
      </c>
      <c r="AM11" t="s">
        <v>3145</v>
      </c>
      <c r="AN11" t="s">
        <v>3164</v>
      </c>
      <c r="AO11" t="s">
        <v>3177</v>
      </c>
      <c r="AP11" t="s">
        <v>1928</v>
      </c>
      <c r="AR11" t="s">
        <v>1948</v>
      </c>
      <c r="AS11" t="s">
        <v>100</v>
      </c>
      <c r="AT11" t="s">
        <v>118</v>
      </c>
      <c r="AU11" t="s">
        <v>154</v>
      </c>
      <c r="AW11" t="s">
        <v>2881</v>
      </c>
      <c r="AX11" t="s">
        <v>2282</v>
      </c>
      <c r="AY11" t="s">
        <v>3345</v>
      </c>
      <c r="AZ11" t="s">
        <v>344</v>
      </c>
      <c r="BB11" t="s">
        <v>4065</v>
      </c>
      <c r="BC11" t="s">
        <v>4079</v>
      </c>
      <c r="BD11" t="s">
        <v>4086</v>
      </c>
      <c r="BE11" t="s">
        <v>4100</v>
      </c>
      <c r="BF11" t="s">
        <v>639</v>
      </c>
      <c r="BH11" t="s">
        <v>652</v>
      </c>
      <c r="BI11" t="s">
        <v>668</v>
      </c>
      <c r="BJ11" t="s">
        <v>689</v>
      </c>
      <c r="BK11" t="s">
        <v>698</v>
      </c>
      <c r="BL11" t="s">
        <v>2542</v>
      </c>
    </row>
    <row r="12" spans="1:64" x14ac:dyDescent="0.2">
      <c r="A12" t="s">
        <v>2535</v>
      </c>
      <c r="B12">
        <v>629</v>
      </c>
      <c r="C12">
        <v>34</v>
      </c>
      <c r="D12">
        <v>20</v>
      </c>
      <c r="E12">
        <v>92</v>
      </c>
      <c r="F12">
        <v>74</v>
      </c>
      <c r="G12">
        <v>28</v>
      </c>
      <c r="H12">
        <v>35</v>
      </c>
      <c r="I12">
        <v>41</v>
      </c>
      <c r="J12" t="s">
        <v>3747</v>
      </c>
      <c r="K12">
        <v>12</v>
      </c>
      <c r="L12" t="s">
        <v>1578</v>
      </c>
      <c r="M12" t="str">
        <f t="shared" si="0"/>
        <v>Winnemucca AP</v>
      </c>
      <c r="N12" t="s">
        <v>874</v>
      </c>
      <c r="O12" t="s">
        <v>1616</v>
      </c>
      <c r="P12" t="s">
        <v>1651</v>
      </c>
      <c r="R12" t="s">
        <v>1884</v>
      </c>
      <c r="S12" t="s">
        <v>1781</v>
      </c>
      <c r="W12" t="s">
        <v>1808</v>
      </c>
      <c r="X12" t="s">
        <v>1839</v>
      </c>
      <c r="Z12" t="s">
        <v>1869</v>
      </c>
      <c r="AA12" t="s">
        <v>868</v>
      </c>
      <c r="AB12" t="s">
        <v>3720</v>
      </c>
      <c r="AC12" t="s">
        <v>1980</v>
      </c>
      <c r="AD12" t="s">
        <v>1998</v>
      </c>
      <c r="AE12" t="s">
        <v>2016</v>
      </c>
      <c r="AF12" t="s">
        <v>2028</v>
      </c>
      <c r="AI12" t="s">
        <v>774</v>
      </c>
      <c r="AJ12" t="s">
        <v>789</v>
      </c>
      <c r="AK12" t="s">
        <v>3460</v>
      </c>
      <c r="AL12" t="s">
        <v>3133</v>
      </c>
      <c r="AM12" t="s">
        <v>3146</v>
      </c>
      <c r="AN12" t="s">
        <v>3165</v>
      </c>
      <c r="AO12" t="s">
        <v>3178</v>
      </c>
      <c r="AP12" t="s">
        <v>1929</v>
      </c>
      <c r="AS12" t="s">
        <v>101</v>
      </c>
      <c r="AT12" t="s">
        <v>119</v>
      </c>
      <c r="AU12" t="s">
        <v>3696</v>
      </c>
      <c r="AW12" t="s">
        <v>338</v>
      </c>
      <c r="AX12" t="s">
        <v>2283</v>
      </c>
      <c r="AY12" t="s">
        <v>3346</v>
      </c>
      <c r="AZ12" t="s">
        <v>4043</v>
      </c>
      <c r="BB12" t="s">
        <v>4066</v>
      </c>
      <c r="BD12" t="s">
        <v>4087</v>
      </c>
      <c r="BE12" t="s">
        <v>4101</v>
      </c>
      <c r="BH12" t="s">
        <v>653</v>
      </c>
      <c r="BI12" t="s">
        <v>669</v>
      </c>
      <c r="BK12" t="s">
        <v>699</v>
      </c>
      <c r="BL12" t="s">
        <v>2543</v>
      </c>
    </row>
    <row r="13" spans="1:64" x14ac:dyDescent="0.2">
      <c r="A13" t="s">
        <v>2536</v>
      </c>
      <c r="B13">
        <v>218</v>
      </c>
      <c r="C13">
        <v>30</v>
      </c>
      <c r="D13">
        <v>30</v>
      </c>
      <c r="E13">
        <v>92</v>
      </c>
      <c r="F13">
        <v>76</v>
      </c>
      <c r="G13">
        <v>41</v>
      </c>
      <c r="H13">
        <v>48</v>
      </c>
      <c r="I13">
        <v>54</v>
      </c>
      <c r="J13" t="s">
        <v>3747</v>
      </c>
      <c r="K13">
        <v>13</v>
      </c>
      <c r="L13" t="s">
        <v>1579</v>
      </c>
      <c r="M13">
        <f t="shared" si="0"/>
        <v>0</v>
      </c>
      <c r="N13" t="s">
        <v>875</v>
      </c>
      <c r="O13" t="s">
        <v>1617</v>
      </c>
      <c r="P13" t="s">
        <v>1652</v>
      </c>
      <c r="R13" t="s">
        <v>1885</v>
      </c>
      <c r="S13" t="s">
        <v>1782</v>
      </c>
      <c r="W13" t="s">
        <v>1809</v>
      </c>
      <c r="X13" t="s">
        <v>1840</v>
      </c>
      <c r="AA13" t="s">
        <v>3691</v>
      </c>
      <c r="AB13" t="s">
        <v>1957</v>
      </c>
      <c r="AC13" t="s">
        <v>1981</v>
      </c>
      <c r="AD13" t="s">
        <v>1999</v>
      </c>
      <c r="AE13" t="s">
        <v>2017</v>
      </c>
      <c r="AF13" t="s">
        <v>2029</v>
      </c>
      <c r="AI13" t="s">
        <v>775</v>
      </c>
      <c r="AJ13" t="s">
        <v>3434</v>
      </c>
      <c r="AK13" t="s">
        <v>3461</v>
      </c>
      <c r="AL13" t="s">
        <v>3134</v>
      </c>
      <c r="AM13" t="s">
        <v>3147</v>
      </c>
      <c r="AN13" t="s">
        <v>1864</v>
      </c>
      <c r="AO13" t="s">
        <v>3179</v>
      </c>
      <c r="AS13" t="s">
        <v>102</v>
      </c>
      <c r="AT13" t="s">
        <v>120</v>
      </c>
      <c r="AU13" t="s">
        <v>155</v>
      </c>
      <c r="AW13" t="s">
        <v>339</v>
      </c>
      <c r="AX13" t="s">
        <v>2284</v>
      </c>
      <c r="AY13" t="s">
        <v>3347</v>
      </c>
      <c r="AZ13" t="s">
        <v>4044</v>
      </c>
      <c r="BB13" t="s">
        <v>4067</v>
      </c>
      <c r="BD13" t="s">
        <v>4088</v>
      </c>
      <c r="BE13" t="s">
        <v>255</v>
      </c>
      <c r="BH13" t="s">
        <v>654</v>
      </c>
      <c r="BI13" t="s">
        <v>670</v>
      </c>
      <c r="BK13" t="s">
        <v>700</v>
      </c>
      <c r="BL13" t="s">
        <v>2544</v>
      </c>
    </row>
    <row r="14" spans="1:64" x14ac:dyDescent="0.2">
      <c r="A14" t="s">
        <v>2537</v>
      </c>
      <c r="B14">
        <v>26</v>
      </c>
      <c r="C14">
        <v>30</v>
      </c>
      <c r="D14">
        <v>29</v>
      </c>
      <c r="E14">
        <v>93</v>
      </c>
      <c r="F14">
        <v>77</v>
      </c>
      <c r="G14">
        <v>46</v>
      </c>
      <c r="H14">
        <v>53</v>
      </c>
      <c r="I14">
        <v>59</v>
      </c>
      <c r="J14" t="s">
        <v>3747</v>
      </c>
      <c r="K14">
        <v>14</v>
      </c>
      <c r="L14" t="s">
        <v>1580</v>
      </c>
      <c r="M14">
        <f t="shared" si="0"/>
        <v>0</v>
      </c>
      <c r="N14" t="s">
        <v>876</v>
      </c>
      <c r="O14" t="s">
        <v>1618</v>
      </c>
      <c r="P14" t="s">
        <v>1653</v>
      </c>
      <c r="R14" t="s">
        <v>1886</v>
      </c>
      <c r="S14" t="s">
        <v>1783</v>
      </c>
      <c r="W14" t="s">
        <v>1810</v>
      </c>
      <c r="X14" t="s">
        <v>1841</v>
      </c>
      <c r="AA14" t="s">
        <v>3692</v>
      </c>
      <c r="AB14" t="s">
        <v>1958</v>
      </c>
      <c r="AC14" t="s">
        <v>1982</v>
      </c>
      <c r="AD14" t="s">
        <v>2000</v>
      </c>
      <c r="AF14" t="s">
        <v>2177</v>
      </c>
      <c r="AI14" t="s">
        <v>776</v>
      </c>
      <c r="AJ14" t="s">
        <v>3435</v>
      </c>
      <c r="AK14" t="s">
        <v>3462</v>
      </c>
      <c r="AL14" t="s">
        <v>3135</v>
      </c>
      <c r="AM14" t="s">
        <v>3148</v>
      </c>
      <c r="AN14" t="s">
        <v>3166</v>
      </c>
      <c r="AO14" t="s">
        <v>3180</v>
      </c>
      <c r="AS14" t="s">
        <v>103</v>
      </c>
      <c r="AT14" t="s">
        <v>121</v>
      </c>
      <c r="AU14" t="s">
        <v>156</v>
      </c>
      <c r="AW14" t="s">
        <v>340</v>
      </c>
      <c r="AX14" t="s">
        <v>2285</v>
      </c>
      <c r="AY14" t="s">
        <v>3348</v>
      </c>
      <c r="AZ14" t="s">
        <v>4045</v>
      </c>
      <c r="BB14" t="s">
        <v>4068</v>
      </c>
      <c r="BD14" t="s">
        <v>4089</v>
      </c>
      <c r="BE14" t="s">
        <v>256</v>
      </c>
      <c r="BH14" t="s">
        <v>1964</v>
      </c>
      <c r="BI14" t="s">
        <v>671</v>
      </c>
      <c r="BK14" t="s">
        <v>701</v>
      </c>
      <c r="BL14" t="s">
        <v>2545</v>
      </c>
    </row>
    <row r="15" spans="1:64" x14ac:dyDescent="0.2">
      <c r="A15" t="s">
        <v>2538</v>
      </c>
      <c r="B15">
        <v>221</v>
      </c>
      <c r="C15">
        <v>32</v>
      </c>
      <c r="D15">
        <v>27</v>
      </c>
      <c r="E15">
        <v>93</v>
      </c>
      <c r="F15">
        <v>76</v>
      </c>
      <c r="G15">
        <v>39</v>
      </c>
      <c r="H15">
        <v>46</v>
      </c>
      <c r="I15">
        <v>52</v>
      </c>
      <c r="J15" t="s">
        <v>3747</v>
      </c>
      <c r="K15">
        <v>15</v>
      </c>
      <c r="L15" t="s">
        <v>1581</v>
      </c>
      <c r="M15">
        <f t="shared" si="0"/>
        <v>0</v>
      </c>
      <c r="N15" t="s">
        <v>730</v>
      </c>
      <c r="O15" t="s">
        <v>1619</v>
      </c>
      <c r="R15" t="s">
        <v>1887</v>
      </c>
      <c r="S15" t="s">
        <v>1784</v>
      </c>
      <c r="W15" t="s">
        <v>1811</v>
      </c>
      <c r="X15" t="s">
        <v>1842</v>
      </c>
      <c r="AA15" t="s">
        <v>3693</v>
      </c>
      <c r="AB15" t="s">
        <v>1959</v>
      </c>
      <c r="AC15" t="s">
        <v>1983</v>
      </c>
      <c r="AD15" t="s">
        <v>2001</v>
      </c>
      <c r="AF15" t="s">
        <v>2178</v>
      </c>
      <c r="AI15" t="s">
        <v>777</v>
      </c>
      <c r="AJ15" t="s">
        <v>3436</v>
      </c>
      <c r="AK15" t="s">
        <v>3463</v>
      </c>
      <c r="AM15" t="s">
        <v>3149</v>
      </c>
      <c r="AN15" t="s">
        <v>3167</v>
      </c>
      <c r="AO15" t="s">
        <v>3181</v>
      </c>
      <c r="AS15" t="s">
        <v>104</v>
      </c>
      <c r="AT15" t="s">
        <v>122</v>
      </c>
      <c r="AU15" t="s">
        <v>157</v>
      </c>
      <c r="AW15" t="s">
        <v>341</v>
      </c>
      <c r="AX15" t="s">
        <v>2286</v>
      </c>
      <c r="AY15" t="s">
        <v>3349</v>
      </c>
      <c r="AZ15" t="s">
        <v>4046</v>
      </c>
      <c r="BB15" t="s">
        <v>4069</v>
      </c>
      <c r="BD15" t="s">
        <v>4090</v>
      </c>
      <c r="BE15" t="s">
        <v>257</v>
      </c>
      <c r="BH15" t="s">
        <v>655</v>
      </c>
      <c r="BI15" t="s">
        <v>672</v>
      </c>
      <c r="BK15" t="s">
        <v>702</v>
      </c>
      <c r="BL15" t="s">
        <v>2546</v>
      </c>
    </row>
    <row r="16" spans="1:64" x14ac:dyDescent="0.2">
      <c r="A16" t="s">
        <v>2770</v>
      </c>
      <c r="B16">
        <v>356</v>
      </c>
      <c r="C16">
        <v>31</v>
      </c>
      <c r="D16">
        <v>31</v>
      </c>
      <c r="E16">
        <v>94</v>
      </c>
      <c r="F16">
        <v>77</v>
      </c>
      <c r="G16">
        <v>44</v>
      </c>
      <c r="H16">
        <v>51</v>
      </c>
      <c r="I16">
        <v>57</v>
      </c>
      <c r="J16" t="s">
        <v>3747</v>
      </c>
      <c r="K16">
        <v>16</v>
      </c>
      <c r="L16" t="s">
        <v>1582</v>
      </c>
      <c r="M16">
        <f t="shared" si="0"/>
        <v>0</v>
      </c>
      <c r="N16" t="s">
        <v>731</v>
      </c>
      <c r="O16" t="s">
        <v>1620</v>
      </c>
      <c r="R16" t="s">
        <v>1888</v>
      </c>
      <c r="S16" t="s">
        <v>1785</v>
      </c>
      <c r="W16" t="s">
        <v>1812</v>
      </c>
      <c r="X16" t="s">
        <v>1843</v>
      </c>
      <c r="AA16" t="s">
        <v>3694</v>
      </c>
      <c r="AB16" t="s">
        <v>1960</v>
      </c>
      <c r="AC16" t="s">
        <v>1984</v>
      </c>
      <c r="AD16" t="s">
        <v>2002</v>
      </c>
      <c r="AI16" t="s">
        <v>778</v>
      </c>
      <c r="AJ16" t="s">
        <v>3437</v>
      </c>
      <c r="AK16" t="s">
        <v>3464</v>
      </c>
      <c r="AM16" t="s">
        <v>3150</v>
      </c>
      <c r="AN16" t="s">
        <v>3168</v>
      </c>
      <c r="AO16" t="s">
        <v>3182</v>
      </c>
      <c r="AS16" t="s">
        <v>105</v>
      </c>
      <c r="AT16" t="s">
        <v>123</v>
      </c>
      <c r="AU16" t="s">
        <v>158</v>
      </c>
      <c r="AW16" t="s">
        <v>342</v>
      </c>
      <c r="AX16" t="s">
        <v>2287</v>
      </c>
      <c r="AY16" t="s">
        <v>3350</v>
      </c>
      <c r="AZ16" t="s">
        <v>4047</v>
      </c>
      <c r="BE16" t="s">
        <v>258</v>
      </c>
      <c r="BH16" t="s">
        <v>656</v>
      </c>
      <c r="BI16" t="s">
        <v>673</v>
      </c>
      <c r="BK16" t="s">
        <v>703</v>
      </c>
    </row>
    <row r="17" spans="1:63" x14ac:dyDescent="0.2">
      <c r="A17" t="s">
        <v>2771</v>
      </c>
      <c r="B17">
        <v>166</v>
      </c>
      <c r="C17">
        <v>32</v>
      </c>
      <c r="D17">
        <v>26</v>
      </c>
      <c r="E17">
        <v>95</v>
      </c>
      <c r="F17">
        <v>77</v>
      </c>
      <c r="G17">
        <v>42</v>
      </c>
      <c r="H17">
        <v>49</v>
      </c>
      <c r="I17">
        <v>55</v>
      </c>
      <c r="J17" t="s">
        <v>3747</v>
      </c>
      <c r="K17">
        <v>17</v>
      </c>
      <c r="L17" t="s">
        <v>1583</v>
      </c>
      <c r="M17">
        <f t="shared" si="0"/>
        <v>0</v>
      </c>
      <c r="N17" t="s">
        <v>732</v>
      </c>
      <c r="O17" t="s">
        <v>1621</v>
      </c>
      <c r="R17" t="s">
        <v>1889</v>
      </c>
      <c r="S17" t="s">
        <v>1786</v>
      </c>
      <c r="W17" t="s">
        <v>1813</v>
      </c>
      <c r="X17" t="s">
        <v>1844</v>
      </c>
      <c r="AA17" t="s">
        <v>3695</v>
      </c>
      <c r="AB17" t="s">
        <v>347</v>
      </c>
      <c r="AC17" t="s">
        <v>1985</v>
      </c>
      <c r="AD17" t="s">
        <v>2003</v>
      </c>
      <c r="AJ17" t="s">
        <v>3438</v>
      </c>
      <c r="AK17" t="s">
        <v>3465</v>
      </c>
      <c r="AM17" t="s">
        <v>3151</v>
      </c>
      <c r="AO17" t="s">
        <v>3183</v>
      </c>
      <c r="AS17" t="s">
        <v>106</v>
      </c>
      <c r="AT17" t="s">
        <v>124</v>
      </c>
      <c r="AU17" t="s">
        <v>159</v>
      </c>
      <c r="AW17" t="s">
        <v>343</v>
      </c>
      <c r="AX17" t="s">
        <v>2288</v>
      </c>
      <c r="AY17" t="s">
        <v>3351</v>
      </c>
      <c r="AZ17" t="s">
        <v>4048</v>
      </c>
      <c r="BE17" t="s">
        <v>259</v>
      </c>
      <c r="BH17" t="s">
        <v>1785</v>
      </c>
      <c r="BI17" t="s">
        <v>674</v>
      </c>
      <c r="BK17" t="s">
        <v>704</v>
      </c>
    </row>
    <row r="18" spans="1:63" x14ac:dyDescent="0.2">
      <c r="A18" t="s">
        <v>2772</v>
      </c>
      <c r="B18">
        <v>528</v>
      </c>
      <c r="C18">
        <v>33</v>
      </c>
      <c r="D18">
        <v>22</v>
      </c>
      <c r="E18">
        <v>94</v>
      </c>
      <c r="F18">
        <v>76</v>
      </c>
      <c r="G18">
        <v>37</v>
      </c>
      <c r="H18">
        <v>44</v>
      </c>
      <c r="I18">
        <v>50</v>
      </c>
      <c r="J18" t="s">
        <v>3747</v>
      </c>
      <c r="K18">
        <v>18</v>
      </c>
      <c r="L18" t="s">
        <v>1584</v>
      </c>
      <c r="M18">
        <f t="shared" si="0"/>
        <v>0</v>
      </c>
      <c r="O18" t="s">
        <v>1622</v>
      </c>
      <c r="R18" t="s">
        <v>1890</v>
      </c>
      <c r="W18" t="s">
        <v>1814</v>
      </c>
      <c r="X18" t="s">
        <v>1845</v>
      </c>
      <c r="AA18" t="s">
        <v>3696</v>
      </c>
      <c r="AB18" t="s">
        <v>1961</v>
      </c>
      <c r="AC18" t="s">
        <v>1986</v>
      </c>
      <c r="AD18" t="s">
        <v>2004</v>
      </c>
      <c r="AJ18" t="s">
        <v>3439</v>
      </c>
      <c r="AK18" t="s">
        <v>3466</v>
      </c>
      <c r="AM18" t="s">
        <v>3152</v>
      </c>
      <c r="AO18" t="s">
        <v>3184</v>
      </c>
      <c r="AS18" t="s">
        <v>107</v>
      </c>
      <c r="AT18" t="s">
        <v>125</v>
      </c>
      <c r="AU18" t="s">
        <v>160</v>
      </c>
      <c r="AW18" t="s">
        <v>344</v>
      </c>
      <c r="AX18" t="s">
        <v>2289</v>
      </c>
      <c r="AY18" t="s">
        <v>3352</v>
      </c>
      <c r="AZ18" t="s">
        <v>4049</v>
      </c>
      <c r="BE18" t="s">
        <v>260</v>
      </c>
      <c r="BH18" t="s">
        <v>657</v>
      </c>
      <c r="BI18" t="s">
        <v>675</v>
      </c>
    </row>
    <row r="19" spans="1:63" x14ac:dyDescent="0.2">
      <c r="A19" t="s">
        <v>2773</v>
      </c>
      <c r="B19">
        <v>170</v>
      </c>
      <c r="C19">
        <v>33</v>
      </c>
      <c r="D19">
        <v>24</v>
      </c>
      <c r="E19">
        <v>94</v>
      </c>
      <c r="F19">
        <v>77</v>
      </c>
      <c r="G19">
        <v>44</v>
      </c>
      <c r="H19">
        <v>51</v>
      </c>
      <c r="I19">
        <v>57</v>
      </c>
      <c r="J19" t="s">
        <v>3747</v>
      </c>
      <c r="K19">
        <v>19</v>
      </c>
      <c r="L19" t="s">
        <v>1585</v>
      </c>
      <c r="M19">
        <f t="shared" si="0"/>
        <v>0</v>
      </c>
      <c r="O19" t="s">
        <v>1623</v>
      </c>
      <c r="R19" t="s">
        <v>1891</v>
      </c>
      <c r="W19" t="s">
        <v>1815</v>
      </c>
      <c r="X19" t="s">
        <v>1846</v>
      </c>
      <c r="AA19" t="s">
        <v>3697</v>
      </c>
      <c r="AB19" t="s">
        <v>1962</v>
      </c>
      <c r="AC19" t="s">
        <v>1987</v>
      </c>
      <c r="AD19" t="s">
        <v>2005</v>
      </c>
      <c r="AJ19" t="s">
        <v>3440</v>
      </c>
      <c r="AK19" t="s">
        <v>3123</v>
      </c>
      <c r="AM19" t="s">
        <v>3153</v>
      </c>
      <c r="AS19" t="s">
        <v>108</v>
      </c>
      <c r="AT19" t="s">
        <v>126</v>
      </c>
      <c r="AU19" t="s">
        <v>161</v>
      </c>
      <c r="AW19" t="s">
        <v>345</v>
      </c>
      <c r="AY19" t="s">
        <v>3353</v>
      </c>
      <c r="AZ19" t="s">
        <v>4050</v>
      </c>
      <c r="BE19" t="s">
        <v>261</v>
      </c>
      <c r="BH19" t="s">
        <v>658</v>
      </c>
      <c r="BI19" t="s">
        <v>676</v>
      </c>
    </row>
    <row r="20" spans="1:63" x14ac:dyDescent="0.2">
      <c r="A20" t="s">
        <v>2774</v>
      </c>
      <c r="B20">
        <v>19</v>
      </c>
      <c r="C20">
        <v>52</v>
      </c>
      <c r="D20">
        <v>23</v>
      </c>
      <c r="E20">
        <v>57</v>
      </c>
      <c r="F20">
        <v>53</v>
      </c>
      <c r="G20">
        <v>-18</v>
      </c>
      <c r="H20">
        <v>-11</v>
      </c>
      <c r="I20">
        <v>-5</v>
      </c>
      <c r="J20" t="s">
        <v>1527</v>
      </c>
      <c r="K20">
        <v>20</v>
      </c>
      <c r="L20" t="s">
        <v>1586</v>
      </c>
      <c r="M20">
        <f t="shared" si="0"/>
        <v>0</v>
      </c>
      <c r="O20" t="s">
        <v>1624</v>
      </c>
      <c r="R20" t="s">
        <v>1892</v>
      </c>
      <c r="W20" t="s">
        <v>1816</v>
      </c>
      <c r="X20" t="s">
        <v>1847</v>
      </c>
      <c r="AA20" t="s">
        <v>3698</v>
      </c>
      <c r="AB20" t="s">
        <v>1963</v>
      </c>
      <c r="AJ20" t="s">
        <v>3441</v>
      </c>
      <c r="AM20" t="s">
        <v>3708</v>
      </c>
      <c r="AS20" t="s">
        <v>109</v>
      </c>
      <c r="AT20" t="s">
        <v>127</v>
      </c>
      <c r="AU20" t="s">
        <v>1795</v>
      </c>
      <c r="AW20" t="s">
        <v>346</v>
      </c>
      <c r="AY20" t="s">
        <v>4032</v>
      </c>
      <c r="AZ20" t="s">
        <v>4051</v>
      </c>
      <c r="BE20" t="s">
        <v>2979</v>
      </c>
      <c r="BI20" t="s">
        <v>677</v>
      </c>
    </row>
    <row r="21" spans="1:63" x14ac:dyDescent="0.2">
      <c r="A21" t="s">
        <v>2775</v>
      </c>
      <c r="B21">
        <v>144</v>
      </c>
      <c r="C21">
        <v>61</v>
      </c>
      <c r="D21">
        <v>-9</v>
      </c>
      <c r="E21">
        <v>68</v>
      </c>
      <c r="F21">
        <v>57</v>
      </c>
      <c r="G21">
        <v>-20</v>
      </c>
      <c r="H21">
        <v>-13</v>
      </c>
      <c r="I21">
        <v>-7</v>
      </c>
      <c r="J21" t="s">
        <v>1527</v>
      </c>
      <c r="K21">
        <v>21</v>
      </c>
      <c r="L21" t="s">
        <v>1587</v>
      </c>
      <c r="M21">
        <f t="shared" si="0"/>
        <v>0</v>
      </c>
      <c r="O21" t="s">
        <v>1625</v>
      </c>
      <c r="R21" t="s">
        <v>1893</v>
      </c>
      <c r="W21" t="s">
        <v>1817</v>
      </c>
      <c r="X21" t="s">
        <v>1848</v>
      </c>
      <c r="AA21" t="s">
        <v>3699</v>
      </c>
      <c r="AB21" t="s">
        <v>1964</v>
      </c>
      <c r="AJ21" t="s">
        <v>3442</v>
      </c>
      <c r="AM21" t="s">
        <v>3154</v>
      </c>
      <c r="AT21" t="s">
        <v>128</v>
      </c>
      <c r="AU21" t="s">
        <v>2410</v>
      </c>
      <c r="AW21" t="s">
        <v>347</v>
      </c>
      <c r="AY21" t="s">
        <v>4033</v>
      </c>
      <c r="AZ21" t="s">
        <v>4052</v>
      </c>
      <c r="BE21" t="s">
        <v>2980</v>
      </c>
      <c r="BI21" t="s">
        <v>678</v>
      </c>
    </row>
    <row r="22" spans="1:63" x14ac:dyDescent="0.2">
      <c r="A22" t="s">
        <v>2776</v>
      </c>
      <c r="B22">
        <v>212</v>
      </c>
      <c r="C22">
        <v>61</v>
      </c>
      <c r="D22">
        <v>-8</v>
      </c>
      <c r="E22">
        <v>69</v>
      </c>
      <c r="F22">
        <v>57</v>
      </c>
      <c r="G22">
        <v>-21</v>
      </c>
      <c r="H22">
        <v>-14</v>
      </c>
      <c r="I22">
        <v>-8</v>
      </c>
      <c r="J22" t="s">
        <v>1527</v>
      </c>
      <c r="K22">
        <v>22</v>
      </c>
      <c r="L22" t="s">
        <v>1588</v>
      </c>
      <c r="M22">
        <f t="shared" si="0"/>
        <v>0</v>
      </c>
      <c r="O22" t="s">
        <v>1626</v>
      </c>
      <c r="R22" t="s">
        <v>1894</v>
      </c>
      <c r="W22" t="s">
        <v>1818</v>
      </c>
      <c r="X22" t="s">
        <v>1849</v>
      </c>
      <c r="AA22" t="s">
        <v>3700</v>
      </c>
      <c r="AB22" t="s">
        <v>1965</v>
      </c>
      <c r="AJ22" t="s">
        <v>3443</v>
      </c>
      <c r="AT22" t="s">
        <v>129</v>
      </c>
      <c r="AW22" t="s">
        <v>2992</v>
      </c>
      <c r="AZ22" t="s">
        <v>4053</v>
      </c>
      <c r="BE22" t="s">
        <v>2981</v>
      </c>
      <c r="BI22" t="s">
        <v>679</v>
      </c>
    </row>
    <row r="23" spans="1:63" x14ac:dyDescent="0.2">
      <c r="A23" t="s">
        <v>2777</v>
      </c>
      <c r="B23">
        <v>342</v>
      </c>
      <c r="C23">
        <v>61</v>
      </c>
      <c r="D23">
        <v>-13</v>
      </c>
      <c r="E23">
        <v>71</v>
      </c>
      <c r="F23">
        <v>58</v>
      </c>
      <c r="G23">
        <v>-20</v>
      </c>
      <c r="H23">
        <v>-13</v>
      </c>
      <c r="I23">
        <v>-7</v>
      </c>
      <c r="J23" t="s">
        <v>3747</v>
      </c>
      <c r="K23">
        <v>23</v>
      </c>
      <c r="L23" t="s">
        <v>1589</v>
      </c>
      <c r="M23">
        <f t="shared" si="0"/>
        <v>0</v>
      </c>
      <c r="O23" t="s">
        <v>1627</v>
      </c>
      <c r="R23" t="s">
        <v>1895</v>
      </c>
      <c r="W23" t="s">
        <v>1819</v>
      </c>
      <c r="X23" t="s">
        <v>1850</v>
      </c>
      <c r="AA23" t="s">
        <v>3701</v>
      </c>
      <c r="AB23" t="s">
        <v>1966</v>
      </c>
      <c r="AJ23" t="s">
        <v>3444</v>
      </c>
      <c r="AT23" t="s">
        <v>130</v>
      </c>
      <c r="AW23" t="s">
        <v>2993</v>
      </c>
      <c r="AZ23" t="s">
        <v>4054</v>
      </c>
      <c r="BE23" t="s">
        <v>3696</v>
      </c>
    </row>
    <row r="24" spans="1:63" x14ac:dyDescent="0.2">
      <c r="A24" t="s">
        <v>2778</v>
      </c>
      <c r="B24">
        <v>110</v>
      </c>
      <c r="C24">
        <v>55</v>
      </c>
      <c r="D24">
        <v>17</v>
      </c>
      <c r="E24">
        <v>70</v>
      </c>
      <c r="F24">
        <v>59</v>
      </c>
      <c r="G24">
        <v>-14</v>
      </c>
      <c r="H24">
        <v>-7</v>
      </c>
      <c r="I24">
        <v>-1</v>
      </c>
      <c r="J24" t="s">
        <v>1527</v>
      </c>
      <c r="K24">
        <v>24</v>
      </c>
      <c r="L24" t="s">
        <v>1590</v>
      </c>
      <c r="M24">
        <f t="shared" si="0"/>
        <v>0</v>
      </c>
      <c r="O24" t="s">
        <v>1628</v>
      </c>
      <c r="R24" s="1310" t="s">
        <v>4195</v>
      </c>
      <c r="W24" t="s">
        <v>1820</v>
      </c>
      <c r="AA24" t="s">
        <v>3702</v>
      </c>
      <c r="AB24" t="s">
        <v>1967</v>
      </c>
      <c r="AJ24" t="s">
        <v>3445</v>
      </c>
      <c r="AT24" t="s">
        <v>131</v>
      </c>
      <c r="AW24" t="s">
        <v>2994</v>
      </c>
      <c r="AZ24" t="s">
        <v>3000</v>
      </c>
      <c r="BE24" t="s">
        <v>2982</v>
      </c>
    </row>
    <row r="25" spans="1:63" x14ac:dyDescent="0.2">
      <c r="A25" t="s">
        <v>2779</v>
      </c>
      <c r="B25">
        <v>44</v>
      </c>
      <c r="C25">
        <v>71</v>
      </c>
      <c r="D25">
        <v>36</v>
      </c>
      <c r="E25">
        <v>52</v>
      </c>
      <c r="F25">
        <v>49</v>
      </c>
      <c r="G25">
        <v>-25</v>
      </c>
      <c r="H25">
        <v>-18</v>
      </c>
      <c r="I25">
        <v>-12</v>
      </c>
      <c r="J25" t="s">
        <v>1527</v>
      </c>
      <c r="K25">
        <v>25</v>
      </c>
      <c r="L25" t="s">
        <v>1591</v>
      </c>
      <c r="M25">
        <f t="shared" si="0"/>
        <v>0</v>
      </c>
      <c r="O25" t="s">
        <v>1629</v>
      </c>
      <c r="R25" t="s">
        <v>1896</v>
      </c>
      <c r="W25" t="s">
        <v>1821</v>
      </c>
      <c r="AA25" t="s">
        <v>3703</v>
      </c>
      <c r="AB25" t="s">
        <v>1968</v>
      </c>
      <c r="AJ25" t="s">
        <v>3446</v>
      </c>
      <c r="AT25" t="s">
        <v>132</v>
      </c>
      <c r="AW25" t="s">
        <v>2995</v>
      </c>
      <c r="AZ25" t="s">
        <v>4055</v>
      </c>
      <c r="BE25" t="s">
        <v>2983</v>
      </c>
    </row>
    <row r="26" spans="1:63" x14ac:dyDescent="0.2">
      <c r="A26" t="s">
        <v>2780</v>
      </c>
      <c r="B26">
        <v>123</v>
      </c>
      <c r="C26">
        <v>61</v>
      </c>
      <c r="D26">
        <v>-24</v>
      </c>
      <c r="E26">
        <v>68</v>
      </c>
      <c r="F26">
        <v>57</v>
      </c>
      <c r="G26">
        <v>-20</v>
      </c>
      <c r="H26">
        <v>-13</v>
      </c>
      <c r="I26">
        <v>-7</v>
      </c>
      <c r="J26" t="s">
        <v>3747</v>
      </c>
      <c r="K26">
        <v>26</v>
      </c>
      <c r="L26" t="s">
        <v>1592</v>
      </c>
      <c r="M26">
        <f t="shared" si="0"/>
        <v>0</v>
      </c>
      <c r="O26" t="s">
        <v>1630</v>
      </c>
      <c r="R26" t="s">
        <v>1897</v>
      </c>
      <c r="W26" t="s">
        <v>1822</v>
      </c>
      <c r="AA26" t="s">
        <v>3704</v>
      </c>
      <c r="AB26" t="s">
        <v>1969</v>
      </c>
      <c r="AJ26" t="s">
        <v>3447</v>
      </c>
      <c r="AT26" t="s">
        <v>133</v>
      </c>
      <c r="AW26" t="s">
        <v>2996</v>
      </c>
      <c r="AZ26" t="s">
        <v>4056</v>
      </c>
      <c r="BE26" t="s">
        <v>2984</v>
      </c>
    </row>
    <row r="27" spans="1:63" x14ac:dyDescent="0.2">
      <c r="A27" t="s">
        <v>2781</v>
      </c>
      <c r="B27">
        <v>643</v>
      </c>
      <c r="C27">
        <v>67</v>
      </c>
      <c r="D27">
        <v>-44</v>
      </c>
      <c r="E27">
        <v>75</v>
      </c>
      <c r="F27">
        <v>59</v>
      </c>
      <c r="G27">
        <v>-22</v>
      </c>
      <c r="H27">
        <v>-15</v>
      </c>
      <c r="I27">
        <v>-9</v>
      </c>
      <c r="J27" t="s">
        <v>3747</v>
      </c>
      <c r="K27">
        <v>27</v>
      </c>
      <c r="L27" t="s">
        <v>1593</v>
      </c>
      <c r="M27">
        <f t="shared" si="0"/>
        <v>0</v>
      </c>
      <c r="O27" t="s">
        <v>1631</v>
      </c>
      <c r="R27" t="s">
        <v>1898</v>
      </c>
      <c r="W27" t="s">
        <v>1823</v>
      </c>
      <c r="AA27" t="s">
        <v>3705</v>
      </c>
      <c r="AJ27" t="s">
        <v>3448</v>
      </c>
      <c r="AT27" t="s">
        <v>134</v>
      </c>
      <c r="AW27" t="s">
        <v>2997</v>
      </c>
      <c r="AZ27" t="s">
        <v>4057</v>
      </c>
      <c r="BE27" t="s">
        <v>2985</v>
      </c>
    </row>
    <row r="28" spans="1:63" x14ac:dyDescent="0.2">
      <c r="A28" t="s">
        <v>2782</v>
      </c>
      <c r="B28">
        <v>1277</v>
      </c>
      <c r="C28">
        <v>64</v>
      </c>
      <c r="D28">
        <v>-39</v>
      </c>
      <c r="E28">
        <v>75</v>
      </c>
      <c r="F28">
        <v>58</v>
      </c>
      <c r="G28">
        <v>-27</v>
      </c>
      <c r="H28">
        <v>-20</v>
      </c>
      <c r="I28">
        <v>-14</v>
      </c>
      <c r="J28" t="s">
        <v>3747</v>
      </c>
      <c r="K28">
        <v>28</v>
      </c>
      <c r="L28" t="s">
        <v>1594</v>
      </c>
      <c r="M28">
        <f t="shared" si="0"/>
        <v>0</v>
      </c>
      <c r="O28" t="s">
        <v>1632</v>
      </c>
      <c r="R28" t="s">
        <v>1899</v>
      </c>
      <c r="W28" t="s">
        <v>1824</v>
      </c>
      <c r="AA28" t="s">
        <v>3706</v>
      </c>
      <c r="AJ28" t="s">
        <v>3449</v>
      </c>
      <c r="AT28" t="s">
        <v>135</v>
      </c>
      <c r="AW28" t="s">
        <v>2998</v>
      </c>
      <c r="BE28" t="s">
        <v>2986</v>
      </c>
    </row>
    <row r="29" spans="1:63" x14ac:dyDescent="0.2">
      <c r="A29" t="s">
        <v>2783</v>
      </c>
      <c r="B29">
        <v>98</v>
      </c>
      <c r="C29">
        <v>55</v>
      </c>
      <c r="D29">
        <v>10</v>
      </c>
      <c r="E29">
        <v>57</v>
      </c>
      <c r="F29">
        <v>53</v>
      </c>
      <c r="G29">
        <v>-18</v>
      </c>
      <c r="H29">
        <v>-11</v>
      </c>
      <c r="I29">
        <v>-5</v>
      </c>
      <c r="J29" t="s">
        <v>1527</v>
      </c>
      <c r="K29">
        <v>29</v>
      </c>
      <c r="L29" t="s">
        <v>1595</v>
      </c>
      <c r="M29">
        <f t="shared" si="0"/>
        <v>0</v>
      </c>
      <c r="O29" t="s">
        <v>1633</v>
      </c>
      <c r="R29" t="s">
        <v>1900</v>
      </c>
      <c r="W29" t="s">
        <v>1825</v>
      </c>
      <c r="AA29" t="s">
        <v>3707</v>
      </c>
      <c r="AJ29" t="s">
        <v>3450</v>
      </c>
      <c r="AT29" t="s">
        <v>136</v>
      </c>
      <c r="AW29" t="s">
        <v>2999</v>
      </c>
      <c r="BE29" t="s">
        <v>2987</v>
      </c>
    </row>
    <row r="30" spans="1:63" x14ac:dyDescent="0.2">
      <c r="A30" t="s">
        <v>2784</v>
      </c>
      <c r="B30">
        <v>42</v>
      </c>
      <c r="C30">
        <v>60</v>
      </c>
      <c r="D30">
        <v>1</v>
      </c>
      <c r="E30">
        <v>67</v>
      </c>
      <c r="F30">
        <v>57</v>
      </c>
      <c r="G30">
        <v>-18</v>
      </c>
      <c r="H30">
        <v>-11</v>
      </c>
      <c r="I30">
        <v>-5</v>
      </c>
      <c r="J30" t="s">
        <v>3747</v>
      </c>
      <c r="K30">
        <v>30</v>
      </c>
      <c r="L30" t="s">
        <v>1596</v>
      </c>
      <c r="M30">
        <f t="shared" si="0"/>
        <v>0</v>
      </c>
      <c r="O30" t="s">
        <v>1634</v>
      </c>
      <c r="R30" t="s">
        <v>1901</v>
      </c>
      <c r="W30" t="s">
        <v>1826</v>
      </c>
      <c r="AA30" t="s">
        <v>3708</v>
      </c>
      <c r="AT30" t="s">
        <v>137</v>
      </c>
      <c r="AW30" t="s">
        <v>3000</v>
      </c>
      <c r="BE30" t="s">
        <v>2988</v>
      </c>
    </row>
    <row r="31" spans="1:63" x14ac:dyDescent="0.2">
      <c r="A31" t="s">
        <v>2785</v>
      </c>
      <c r="B31">
        <v>61</v>
      </c>
      <c r="C31">
        <v>70</v>
      </c>
      <c r="D31">
        <v>-34</v>
      </c>
      <c r="E31">
        <v>61</v>
      </c>
      <c r="F31">
        <v>54</v>
      </c>
      <c r="G31">
        <v>-21</v>
      </c>
      <c r="H31">
        <v>-14</v>
      </c>
      <c r="I31">
        <v>-8</v>
      </c>
      <c r="J31" t="s">
        <v>3747</v>
      </c>
      <c r="K31">
        <v>31</v>
      </c>
      <c r="L31" t="s">
        <v>1597</v>
      </c>
      <c r="M31">
        <f t="shared" si="0"/>
        <v>0</v>
      </c>
      <c r="O31" t="s">
        <v>1635</v>
      </c>
      <c r="R31" t="s">
        <v>1902</v>
      </c>
      <c r="W31" t="s">
        <v>1827</v>
      </c>
      <c r="AA31" t="s">
        <v>3709</v>
      </c>
      <c r="AT31" t="s">
        <v>3462</v>
      </c>
      <c r="AW31" t="s">
        <v>3001</v>
      </c>
      <c r="BE31" t="s">
        <v>2989</v>
      </c>
    </row>
    <row r="32" spans="1:63" x14ac:dyDescent="0.2">
      <c r="A32" t="s">
        <v>2786</v>
      </c>
      <c r="B32">
        <v>86</v>
      </c>
      <c r="C32">
        <v>59</v>
      </c>
      <c r="D32">
        <v>-13</v>
      </c>
      <c r="E32">
        <v>66</v>
      </c>
      <c r="F32">
        <v>56</v>
      </c>
      <c r="G32">
        <v>-21</v>
      </c>
      <c r="H32">
        <v>-14</v>
      </c>
      <c r="I32">
        <v>-8</v>
      </c>
      <c r="J32" t="s">
        <v>3747</v>
      </c>
      <c r="K32">
        <v>32</v>
      </c>
      <c r="L32" t="s">
        <v>1598</v>
      </c>
      <c r="M32">
        <f t="shared" si="0"/>
        <v>0</v>
      </c>
      <c r="O32" t="s">
        <v>1636</v>
      </c>
      <c r="R32" t="s">
        <v>1903</v>
      </c>
      <c r="W32" t="s">
        <v>1828</v>
      </c>
      <c r="AA32" t="s">
        <v>3710</v>
      </c>
      <c r="AT32" t="s">
        <v>138</v>
      </c>
      <c r="AW32" t="s">
        <v>3002</v>
      </c>
      <c r="BE32" t="s">
        <v>2990</v>
      </c>
    </row>
    <row r="33" spans="1:57" x14ac:dyDescent="0.2">
      <c r="A33" t="s">
        <v>2787</v>
      </c>
      <c r="B33">
        <v>434</v>
      </c>
      <c r="C33">
        <v>64</v>
      </c>
      <c r="D33">
        <v>-41</v>
      </c>
      <c r="E33">
        <v>77</v>
      </c>
      <c r="F33">
        <v>59</v>
      </c>
      <c r="G33">
        <v>-26</v>
      </c>
      <c r="H33">
        <v>-19</v>
      </c>
      <c r="I33">
        <v>-13</v>
      </c>
      <c r="J33" t="s">
        <v>3747</v>
      </c>
      <c r="K33">
        <v>33</v>
      </c>
      <c r="L33" t="s">
        <v>1599</v>
      </c>
      <c r="M33">
        <f t="shared" si="0"/>
        <v>0</v>
      </c>
      <c r="O33" t="s">
        <v>1637</v>
      </c>
      <c r="R33" t="s">
        <v>1904</v>
      </c>
      <c r="W33" t="s">
        <v>1829</v>
      </c>
      <c r="AT33" t="s">
        <v>139</v>
      </c>
      <c r="AW33" t="s">
        <v>3003</v>
      </c>
      <c r="BE33" t="s">
        <v>2991</v>
      </c>
    </row>
    <row r="34" spans="1:57" x14ac:dyDescent="0.2">
      <c r="A34" t="s">
        <v>2788</v>
      </c>
      <c r="B34">
        <v>545</v>
      </c>
      <c r="C34">
        <v>64</v>
      </c>
      <c r="D34">
        <v>-31</v>
      </c>
      <c r="E34">
        <v>78</v>
      </c>
      <c r="F34">
        <v>60</v>
      </c>
      <c r="G34">
        <v>-23</v>
      </c>
      <c r="H34">
        <v>-16</v>
      </c>
      <c r="I34">
        <v>-10</v>
      </c>
      <c r="J34" t="s">
        <v>3747</v>
      </c>
      <c r="K34">
        <v>34</v>
      </c>
      <c r="L34" t="s">
        <v>1600</v>
      </c>
      <c r="M34">
        <f t="shared" si="0"/>
        <v>0</v>
      </c>
      <c r="O34" t="s">
        <v>1638</v>
      </c>
      <c r="R34" t="s">
        <v>1905</v>
      </c>
      <c r="AT34" t="s">
        <v>140</v>
      </c>
      <c r="BE34" t="s">
        <v>2464</v>
      </c>
    </row>
    <row r="35" spans="1:57" x14ac:dyDescent="0.2">
      <c r="A35" t="s">
        <v>2789</v>
      </c>
      <c r="B35">
        <v>152</v>
      </c>
      <c r="C35">
        <v>64</v>
      </c>
      <c r="D35">
        <v>-31</v>
      </c>
      <c r="E35">
        <v>74</v>
      </c>
      <c r="F35">
        <v>59</v>
      </c>
      <c r="G35">
        <v>-21</v>
      </c>
      <c r="H35">
        <v>-14</v>
      </c>
      <c r="I35">
        <v>-8</v>
      </c>
      <c r="J35" t="s">
        <v>3747</v>
      </c>
      <c r="K35">
        <v>35</v>
      </c>
      <c r="L35" t="s">
        <v>1194</v>
      </c>
      <c r="M35">
        <f t="shared" si="0"/>
        <v>0</v>
      </c>
      <c r="O35" t="s">
        <v>1639</v>
      </c>
      <c r="R35" t="s">
        <v>1906</v>
      </c>
      <c r="AT35" t="s">
        <v>141</v>
      </c>
      <c r="BE35" t="s">
        <v>2465</v>
      </c>
    </row>
    <row r="36" spans="1:57" x14ac:dyDescent="0.2">
      <c r="A36" t="s">
        <v>1540</v>
      </c>
      <c r="B36">
        <v>1579</v>
      </c>
      <c r="C36">
        <v>62</v>
      </c>
      <c r="D36">
        <v>-39</v>
      </c>
      <c r="E36">
        <v>73</v>
      </c>
      <c r="F36">
        <v>56</v>
      </c>
      <c r="G36">
        <v>-32</v>
      </c>
      <c r="H36">
        <v>-25</v>
      </c>
      <c r="I36">
        <v>-19</v>
      </c>
      <c r="J36" t="s">
        <v>3747</v>
      </c>
      <c r="K36">
        <v>36</v>
      </c>
      <c r="L36" t="s">
        <v>1195</v>
      </c>
      <c r="M36">
        <f t="shared" si="0"/>
        <v>0</v>
      </c>
      <c r="O36" t="s">
        <v>1640</v>
      </c>
      <c r="R36" t="s">
        <v>1907</v>
      </c>
      <c r="AT36" t="s">
        <v>142</v>
      </c>
      <c r="BE36" t="s">
        <v>2466</v>
      </c>
    </row>
    <row r="37" spans="1:57" x14ac:dyDescent="0.2">
      <c r="A37" t="s">
        <v>1541</v>
      </c>
      <c r="B37">
        <v>78</v>
      </c>
      <c r="C37">
        <v>59</v>
      </c>
      <c r="D37">
        <v>4</v>
      </c>
      <c r="E37">
        <v>62</v>
      </c>
      <c r="F37">
        <v>55</v>
      </c>
      <c r="G37">
        <v>-18</v>
      </c>
      <c r="H37">
        <v>-11</v>
      </c>
      <c r="I37">
        <v>-5</v>
      </c>
      <c r="J37" t="s">
        <v>1527</v>
      </c>
      <c r="K37">
        <v>37</v>
      </c>
      <c r="L37" t="s">
        <v>1196</v>
      </c>
      <c r="M37">
        <f t="shared" si="0"/>
        <v>0</v>
      </c>
      <c r="R37" t="s">
        <v>1908</v>
      </c>
      <c r="AT37" t="s">
        <v>143</v>
      </c>
      <c r="BE37" t="s">
        <v>2467</v>
      </c>
    </row>
    <row r="38" spans="1:57" x14ac:dyDescent="0.2">
      <c r="A38" t="s">
        <v>1542</v>
      </c>
      <c r="B38">
        <v>19</v>
      </c>
      <c r="C38">
        <v>58</v>
      </c>
      <c r="D38">
        <v>7</v>
      </c>
      <c r="E38">
        <v>69</v>
      </c>
      <c r="F38">
        <v>58</v>
      </c>
      <c r="G38">
        <v>-17</v>
      </c>
      <c r="H38">
        <v>-10</v>
      </c>
      <c r="I38">
        <v>-4</v>
      </c>
      <c r="J38" t="s">
        <v>1527</v>
      </c>
      <c r="K38">
        <v>38</v>
      </c>
      <c r="L38" t="s">
        <v>1601</v>
      </c>
      <c r="M38">
        <f t="shared" si="0"/>
        <v>0</v>
      </c>
      <c r="R38" t="s">
        <v>1909</v>
      </c>
      <c r="AT38" t="s">
        <v>144</v>
      </c>
      <c r="BE38" t="s">
        <v>2468</v>
      </c>
    </row>
    <row r="39" spans="1:57" x14ac:dyDescent="0.2">
      <c r="A39" t="s">
        <v>1543</v>
      </c>
      <c r="B39">
        <v>92</v>
      </c>
      <c r="C39">
        <v>60</v>
      </c>
      <c r="D39">
        <v>-14</v>
      </c>
      <c r="E39">
        <v>65</v>
      </c>
      <c r="F39">
        <v>55</v>
      </c>
      <c r="G39">
        <v>-23</v>
      </c>
      <c r="H39">
        <v>-16</v>
      </c>
      <c r="I39">
        <v>-10</v>
      </c>
      <c r="J39" t="s">
        <v>3747</v>
      </c>
      <c r="K39">
        <v>39</v>
      </c>
      <c r="L39" t="s">
        <v>1602</v>
      </c>
      <c r="M39">
        <f t="shared" si="0"/>
        <v>0</v>
      </c>
      <c r="R39" t="s">
        <v>1910</v>
      </c>
      <c r="BE39" t="s">
        <v>2469</v>
      </c>
    </row>
    <row r="40" spans="1:57" x14ac:dyDescent="0.2">
      <c r="A40" t="s">
        <v>1544</v>
      </c>
      <c r="B40">
        <v>88</v>
      </c>
      <c r="C40">
        <v>55</v>
      </c>
      <c r="D40">
        <v>20</v>
      </c>
      <c r="E40">
        <v>68</v>
      </c>
      <c r="F40">
        <v>59</v>
      </c>
      <c r="G40">
        <v>-11</v>
      </c>
      <c r="H40">
        <v>-4</v>
      </c>
      <c r="I40">
        <v>2</v>
      </c>
      <c r="J40" t="s">
        <v>1527</v>
      </c>
      <c r="K40">
        <v>40</v>
      </c>
      <c r="L40" t="s">
        <v>1603</v>
      </c>
      <c r="M40">
        <f t="shared" si="0"/>
        <v>0</v>
      </c>
      <c r="R40" t="s">
        <v>1911</v>
      </c>
      <c r="BE40" t="s">
        <v>2470</v>
      </c>
    </row>
    <row r="41" spans="1:57" x14ac:dyDescent="0.2">
      <c r="A41" t="s">
        <v>1545</v>
      </c>
      <c r="B41">
        <v>57</v>
      </c>
      <c r="C41">
        <v>58</v>
      </c>
      <c r="D41">
        <v>-19</v>
      </c>
      <c r="E41">
        <v>67</v>
      </c>
      <c r="F41">
        <v>56</v>
      </c>
      <c r="G41">
        <v>-22</v>
      </c>
      <c r="H41">
        <v>-15</v>
      </c>
      <c r="I41">
        <v>-9</v>
      </c>
      <c r="J41" t="s">
        <v>3747</v>
      </c>
      <c r="K41">
        <v>41</v>
      </c>
      <c r="L41" t="s">
        <v>1604</v>
      </c>
      <c r="M41">
        <f t="shared" si="0"/>
        <v>0</v>
      </c>
      <c r="R41" t="s">
        <v>1912</v>
      </c>
      <c r="BE41" t="s">
        <v>2471</v>
      </c>
    </row>
    <row r="42" spans="1:57" x14ac:dyDescent="0.2">
      <c r="A42" t="s">
        <v>1546</v>
      </c>
      <c r="B42">
        <v>73</v>
      </c>
      <c r="C42">
        <v>57</v>
      </c>
      <c r="D42">
        <v>12</v>
      </c>
      <c r="E42">
        <v>65</v>
      </c>
      <c r="F42">
        <v>56</v>
      </c>
      <c r="G42">
        <v>-19</v>
      </c>
      <c r="H42">
        <v>-12</v>
      </c>
      <c r="I42">
        <v>-6</v>
      </c>
      <c r="J42" t="s">
        <v>1527</v>
      </c>
      <c r="K42">
        <v>42</v>
      </c>
      <c r="L42" t="s">
        <v>1605</v>
      </c>
      <c r="M42">
        <f t="shared" si="0"/>
        <v>0</v>
      </c>
      <c r="R42" t="s">
        <v>1913</v>
      </c>
      <c r="BE42" t="s">
        <v>2472</v>
      </c>
    </row>
    <row r="43" spans="1:57" x14ac:dyDescent="0.2">
      <c r="A43" t="s">
        <v>1547</v>
      </c>
      <c r="B43">
        <v>11</v>
      </c>
      <c r="C43">
        <v>66</v>
      </c>
      <c r="D43">
        <v>-31</v>
      </c>
      <c r="E43">
        <v>64</v>
      </c>
      <c r="F43">
        <v>58</v>
      </c>
      <c r="G43">
        <v>-9</v>
      </c>
      <c r="H43">
        <v>-2</v>
      </c>
      <c r="I43">
        <v>4</v>
      </c>
      <c r="J43" t="s">
        <v>1527</v>
      </c>
      <c r="K43">
        <v>43</v>
      </c>
      <c r="L43" t="s">
        <v>1606</v>
      </c>
      <c r="M43">
        <f t="shared" si="0"/>
        <v>0</v>
      </c>
      <c r="R43" t="s">
        <v>1914</v>
      </c>
      <c r="BE43" t="s">
        <v>2473</v>
      </c>
    </row>
    <row r="44" spans="1:57" x14ac:dyDescent="0.2">
      <c r="A44" t="s">
        <v>1548</v>
      </c>
      <c r="B44">
        <v>337</v>
      </c>
      <c r="C44">
        <v>62</v>
      </c>
      <c r="D44">
        <v>-42</v>
      </c>
      <c r="E44">
        <v>73</v>
      </c>
      <c r="F44">
        <v>58</v>
      </c>
      <c r="G44">
        <v>-23</v>
      </c>
      <c r="H44">
        <v>-16</v>
      </c>
      <c r="I44">
        <v>-10</v>
      </c>
      <c r="J44" t="s">
        <v>3747</v>
      </c>
      <c r="K44">
        <v>44</v>
      </c>
      <c r="L44" t="s">
        <v>1607</v>
      </c>
      <c r="M44">
        <f t="shared" si="0"/>
        <v>0</v>
      </c>
      <c r="R44" t="s">
        <v>1915</v>
      </c>
      <c r="BE44" t="s">
        <v>2474</v>
      </c>
    </row>
    <row r="45" spans="1:57" x14ac:dyDescent="0.2">
      <c r="A45" t="s">
        <v>1549</v>
      </c>
      <c r="B45">
        <v>87</v>
      </c>
      <c r="C45">
        <v>59</v>
      </c>
      <c r="D45">
        <v>21</v>
      </c>
      <c r="E45">
        <v>60</v>
      </c>
      <c r="F45">
        <v>51</v>
      </c>
      <c r="G45">
        <v>-31</v>
      </c>
      <c r="H45">
        <v>-24</v>
      </c>
      <c r="I45">
        <v>-18</v>
      </c>
      <c r="J45" t="s">
        <v>1527</v>
      </c>
      <c r="K45">
        <v>45</v>
      </c>
      <c r="L45" t="s">
        <v>2866</v>
      </c>
      <c r="M45">
        <f t="shared" si="0"/>
        <v>0</v>
      </c>
      <c r="R45" t="s">
        <v>1916</v>
      </c>
      <c r="BE45" t="s">
        <v>2475</v>
      </c>
    </row>
    <row r="46" spans="1:57" x14ac:dyDescent="0.2">
      <c r="A46" t="s">
        <v>1550</v>
      </c>
      <c r="B46">
        <v>362</v>
      </c>
      <c r="C46">
        <v>64</v>
      </c>
      <c r="D46">
        <v>-44</v>
      </c>
      <c r="E46">
        <v>76</v>
      </c>
      <c r="F46">
        <v>59</v>
      </c>
      <c r="G46">
        <v>-24</v>
      </c>
      <c r="H46">
        <v>-17</v>
      </c>
      <c r="I46">
        <v>-11</v>
      </c>
      <c r="J46" t="s">
        <v>3747</v>
      </c>
      <c r="K46">
        <v>46</v>
      </c>
      <c r="L46" t="s">
        <v>2867</v>
      </c>
      <c r="M46">
        <f t="shared" si="0"/>
        <v>0</v>
      </c>
      <c r="R46" t="s">
        <v>2851</v>
      </c>
      <c r="BE46" t="s">
        <v>2476</v>
      </c>
    </row>
    <row r="47" spans="1:57" x14ac:dyDescent="0.2">
      <c r="A47" t="s">
        <v>1551</v>
      </c>
      <c r="B47">
        <v>37</v>
      </c>
      <c r="C47">
        <v>64</v>
      </c>
      <c r="D47">
        <v>-26</v>
      </c>
      <c r="E47">
        <v>65</v>
      </c>
      <c r="F47">
        <v>55</v>
      </c>
      <c r="G47">
        <v>-23</v>
      </c>
      <c r="H47">
        <v>-16</v>
      </c>
      <c r="I47">
        <v>-10</v>
      </c>
      <c r="J47" t="s">
        <v>1527</v>
      </c>
      <c r="K47">
        <v>47</v>
      </c>
      <c r="L47" t="s">
        <v>2868</v>
      </c>
      <c r="M47">
        <f t="shared" si="0"/>
        <v>0</v>
      </c>
      <c r="R47" t="s">
        <v>2852</v>
      </c>
      <c r="BE47" t="s">
        <v>2477</v>
      </c>
    </row>
    <row r="48" spans="1:57" x14ac:dyDescent="0.2">
      <c r="A48" t="s">
        <v>1552</v>
      </c>
      <c r="B48">
        <v>1716</v>
      </c>
      <c r="C48">
        <v>62</v>
      </c>
      <c r="D48">
        <v>-32</v>
      </c>
      <c r="E48">
        <v>74</v>
      </c>
      <c r="F48">
        <v>57</v>
      </c>
      <c r="G48">
        <v>-29</v>
      </c>
      <c r="H48">
        <v>-22</v>
      </c>
      <c r="I48">
        <v>-16</v>
      </c>
      <c r="J48" t="s">
        <v>3747</v>
      </c>
      <c r="K48">
        <v>48</v>
      </c>
      <c r="L48" t="s">
        <v>2869</v>
      </c>
      <c r="M48">
        <f t="shared" si="0"/>
        <v>0</v>
      </c>
      <c r="R48" t="s">
        <v>2853</v>
      </c>
      <c r="BE48" t="s">
        <v>2478</v>
      </c>
    </row>
    <row r="49" spans="1:57" x14ac:dyDescent="0.2">
      <c r="A49" t="s">
        <v>1553</v>
      </c>
      <c r="B49">
        <v>105</v>
      </c>
      <c r="C49">
        <v>56</v>
      </c>
      <c r="D49">
        <v>-2</v>
      </c>
      <c r="E49">
        <v>61</v>
      </c>
      <c r="F49">
        <v>52</v>
      </c>
      <c r="G49">
        <v>-29</v>
      </c>
      <c r="H49">
        <v>-22</v>
      </c>
      <c r="I49">
        <v>-16</v>
      </c>
      <c r="J49" t="s">
        <v>1527</v>
      </c>
      <c r="K49">
        <v>49</v>
      </c>
      <c r="L49" t="s">
        <v>2870</v>
      </c>
      <c r="M49">
        <f t="shared" si="0"/>
        <v>0</v>
      </c>
      <c r="R49" t="s">
        <v>2854</v>
      </c>
      <c r="BE49" t="s">
        <v>2479</v>
      </c>
    </row>
    <row r="50" spans="1:57" x14ac:dyDescent="0.2">
      <c r="A50" t="s">
        <v>1554</v>
      </c>
      <c r="B50">
        <v>63</v>
      </c>
      <c r="C50">
        <v>57</v>
      </c>
      <c r="D50">
        <v>3</v>
      </c>
      <c r="E50">
        <v>52</v>
      </c>
      <c r="F50">
        <v>50</v>
      </c>
      <c r="G50">
        <v>-22</v>
      </c>
      <c r="H50">
        <v>-15</v>
      </c>
      <c r="I50">
        <v>-9</v>
      </c>
      <c r="J50" t="s">
        <v>1527</v>
      </c>
      <c r="K50">
        <v>50</v>
      </c>
      <c r="L50" t="s">
        <v>2871</v>
      </c>
      <c r="M50">
        <f t="shared" si="0"/>
        <v>0</v>
      </c>
      <c r="R50" t="s">
        <v>2855</v>
      </c>
      <c r="BE50" t="s">
        <v>620</v>
      </c>
    </row>
    <row r="51" spans="1:57" x14ac:dyDescent="0.2">
      <c r="A51" t="s">
        <v>1555</v>
      </c>
      <c r="B51">
        <v>21</v>
      </c>
      <c r="C51">
        <v>57</v>
      </c>
      <c r="D51">
        <v>21</v>
      </c>
      <c r="E51">
        <v>64</v>
      </c>
      <c r="F51">
        <v>58</v>
      </c>
      <c r="G51">
        <v>-9</v>
      </c>
      <c r="H51">
        <v>-2</v>
      </c>
      <c r="I51">
        <v>4</v>
      </c>
      <c r="J51" t="s">
        <v>1527</v>
      </c>
      <c r="K51">
        <v>51</v>
      </c>
      <c r="L51" t="s">
        <v>2872</v>
      </c>
      <c r="M51">
        <f t="shared" si="0"/>
        <v>0</v>
      </c>
      <c r="R51" t="s">
        <v>2856</v>
      </c>
      <c r="BE51" t="s">
        <v>621</v>
      </c>
    </row>
    <row r="52" spans="1:57" x14ac:dyDescent="0.2">
      <c r="A52" t="s">
        <v>1556</v>
      </c>
      <c r="B52">
        <v>358</v>
      </c>
      <c r="C52">
        <v>62</v>
      </c>
      <c r="D52">
        <v>-21</v>
      </c>
      <c r="E52">
        <v>73</v>
      </c>
      <c r="F52">
        <v>58</v>
      </c>
      <c r="G52">
        <v>-23</v>
      </c>
      <c r="H52">
        <v>-16</v>
      </c>
      <c r="I52">
        <v>-10</v>
      </c>
      <c r="J52" t="s">
        <v>3747</v>
      </c>
      <c r="K52">
        <v>52</v>
      </c>
      <c r="M52">
        <f t="shared" si="0"/>
        <v>0</v>
      </c>
      <c r="R52" t="s">
        <v>2857</v>
      </c>
      <c r="BE52" t="s">
        <v>622</v>
      </c>
    </row>
    <row r="53" spans="1:57" x14ac:dyDescent="0.2">
      <c r="A53" t="s">
        <v>1557</v>
      </c>
      <c r="B53">
        <v>120</v>
      </c>
      <c r="C53">
        <v>61</v>
      </c>
      <c r="D53">
        <v>7</v>
      </c>
      <c r="E53">
        <v>66</v>
      </c>
      <c r="F53">
        <v>55</v>
      </c>
      <c r="G53">
        <v>-25</v>
      </c>
      <c r="H53">
        <v>-18</v>
      </c>
      <c r="I53">
        <v>-12</v>
      </c>
      <c r="J53" t="s">
        <v>1527</v>
      </c>
      <c r="K53">
        <v>53</v>
      </c>
      <c r="M53">
        <f t="shared" si="0"/>
        <v>0</v>
      </c>
      <c r="R53" t="s">
        <v>2858</v>
      </c>
      <c r="BE53" t="s">
        <v>623</v>
      </c>
    </row>
    <row r="54" spans="1:57" x14ac:dyDescent="0.2">
      <c r="A54" t="s">
        <v>1558</v>
      </c>
      <c r="B54">
        <v>33</v>
      </c>
      <c r="C54">
        <v>59</v>
      </c>
      <c r="D54">
        <v>2</v>
      </c>
      <c r="E54">
        <v>63</v>
      </c>
      <c r="F54">
        <v>55</v>
      </c>
      <c r="G54">
        <v>-20</v>
      </c>
      <c r="H54">
        <v>-13</v>
      </c>
      <c r="I54">
        <v>-7</v>
      </c>
      <c r="J54" t="s">
        <v>1527</v>
      </c>
      <c r="K54">
        <v>54</v>
      </c>
      <c r="M54">
        <f t="shared" si="0"/>
        <v>0</v>
      </c>
      <c r="R54" t="s">
        <v>2859</v>
      </c>
      <c r="BE54" t="s">
        <v>624</v>
      </c>
    </row>
    <row r="55" spans="1:57" x14ac:dyDescent="0.2">
      <c r="A55" t="s">
        <v>1559</v>
      </c>
      <c r="B55">
        <v>4173</v>
      </c>
      <c r="C55">
        <v>31</v>
      </c>
      <c r="D55">
        <v>31</v>
      </c>
      <c r="E55">
        <v>95</v>
      </c>
      <c r="F55">
        <v>63</v>
      </c>
      <c r="G55">
        <v>-34</v>
      </c>
      <c r="H55">
        <v>-27</v>
      </c>
      <c r="I55">
        <v>-21</v>
      </c>
      <c r="J55" t="s">
        <v>831</v>
      </c>
      <c r="K55">
        <v>55</v>
      </c>
      <c r="M55">
        <f t="shared" si="0"/>
        <v>0</v>
      </c>
      <c r="R55" t="s">
        <v>2860</v>
      </c>
      <c r="BE55" t="s">
        <v>625</v>
      </c>
    </row>
    <row r="56" spans="1:57" x14ac:dyDescent="0.2">
      <c r="A56" t="s">
        <v>1560</v>
      </c>
      <c r="B56">
        <v>7011</v>
      </c>
      <c r="C56">
        <v>35</v>
      </c>
      <c r="D56">
        <v>8</v>
      </c>
      <c r="E56">
        <v>83</v>
      </c>
      <c r="F56">
        <v>55</v>
      </c>
      <c r="G56">
        <v>-54</v>
      </c>
      <c r="H56">
        <v>-47</v>
      </c>
      <c r="I56">
        <v>-41</v>
      </c>
      <c r="J56" t="s">
        <v>831</v>
      </c>
      <c r="K56">
        <v>56</v>
      </c>
      <c r="M56">
        <f t="shared" si="0"/>
        <v>0</v>
      </c>
      <c r="R56" t="s">
        <v>2861</v>
      </c>
      <c r="BE56" t="s">
        <v>626</v>
      </c>
    </row>
    <row r="57" spans="1:57" x14ac:dyDescent="0.2">
      <c r="A57" t="s">
        <v>1561</v>
      </c>
      <c r="B57">
        <v>4716</v>
      </c>
      <c r="C57">
        <v>31</v>
      </c>
      <c r="D57">
        <v>28</v>
      </c>
      <c r="E57">
        <v>92</v>
      </c>
      <c r="F57">
        <v>62</v>
      </c>
      <c r="G57">
        <v>-34</v>
      </c>
      <c r="H57">
        <v>-27</v>
      </c>
      <c r="I57">
        <v>-21</v>
      </c>
      <c r="J57" t="s">
        <v>831</v>
      </c>
      <c r="K57">
        <v>57</v>
      </c>
      <c r="M57">
        <f t="shared" si="0"/>
        <v>0</v>
      </c>
      <c r="R57" t="s">
        <v>2862</v>
      </c>
      <c r="BE57" t="s">
        <v>627</v>
      </c>
    </row>
    <row r="58" spans="1:57" x14ac:dyDescent="0.2">
      <c r="A58" t="s">
        <v>1562</v>
      </c>
      <c r="B58">
        <v>3446</v>
      </c>
      <c r="C58">
        <v>35</v>
      </c>
      <c r="D58">
        <v>27</v>
      </c>
      <c r="E58">
        <v>97</v>
      </c>
      <c r="F58">
        <v>63</v>
      </c>
      <c r="G58">
        <v>-38</v>
      </c>
      <c r="H58">
        <v>-31</v>
      </c>
      <c r="I58">
        <v>-25</v>
      </c>
      <c r="J58" t="s">
        <v>831</v>
      </c>
      <c r="K58">
        <v>58</v>
      </c>
      <c r="M58">
        <f t="shared" si="0"/>
        <v>0</v>
      </c>
      <c r="R58" t="s">
        <v>2863</v>
      </c>
      <c r="BE58" t="s">
        <v>628</v>
      </c>
    </row>
    <row r="59" spans="1:57" x14ac:dyDescent="0.2">
      <c r="A59" t="s">
        <v>1563</v>
      </c>
      <c r="B59">
        <v>3932</v>
      </c>
      <c r="C59">
        <v>31</v>
      </c>
      <c r="D59">
        <v>32</v>
      </c>
      <c r="E59">
        <v>96</v>
      </c>
      <c r="F59">
        <v>64</v>
      </c>
      <c r="G59">
        <v>-32</v>
      </c>
      <c r="H59">
        <v>-25</v>
      </c>
      <c r="I59">
        <v>-19</v>
      </c>
      <c r="J59" t="s">
        <v>831</v>
      </c>
      <c r="K59">
        <v>59</v>
      </c>
      <c r="M59">
        <f t="shared" si="0"/>
        <v>0</v>
      </c>
      <c r="R59" t="s">
        <v>2864</v>
      </c>
      <c r="BE59" t="s">
        <v>629</v>
      </c>
    </row>
    <row r="60" spans="1:57" x14ac:dyDescent="0.2">
      <c r="A60" t="s">
        <v>1564</v>
      </c>
      <c r="B60">
        <v>4310</v>
      </c>
      <c r="C60">
        <v>36</v>
      </c>
      <c r="D60">
        <v>24</v>
      </c>
      <c r="E60">
        <v>97</v>
      </c>
      <c r="F60">
        <v>62</v>
      </c>
      <c r="G60">
        <v>-43</v>
      </c>
      <c r="H60">
        <v>-36</v>
      </c>
      <c r="I60">
        <v>-30</v>
      </c>
      <c r="J60" t="s">
        <v>831</v>
      </c>
      <c r="K60">
        <v>60</v>
      </c>
      <c r="M60">
        <f t="shared" si="0"/>
        <v>0</v>
      </c>
      <c r="R60" t="s">
        <v>2865</v>
      </c>
    </row>
    <row r="61" spans="1:57" x14ac:dyDescent="0.2">
      <c r="A61" t="s">
        <v>1565</v>
      </c>
      <c r="B61">
        <v>1133</v>
      </c>
      <c r="C61">
        <v>33</v>
      </c>
      <c r="D61">
        <v>37</v>
      </c>
      <c r="E61">
        <v>108</v>
      </c>
      <c r="F61">
        <v>70</v>
      </c>
      <c r="G61">
        <v>-21</v>
      </c>
      <c r="H61">
        <v>-14</v>
      </c>
      <c r="I61">
        <v>-8</v>
      </c>
      <c r="J61" t="s">
        <v>831</v>
      </c>
      <c r="K61">
        <v>61</v>
      </c>
      <c r="M61">
        <f t="shared" si="0"/>
        <v>0</v>
      </c>
      <c r="R61" t="s">
        <v>2831</v>
      </c>
    </row>
    <row r="62" spans="1:57" x14ac:dyDescent="0.2">
      <c r="A62" t="s">
        <v>1566</v>
      </c>
      <c r="B62">
        <v>1101</v>
      </c>
      <c r="C62">
        <v>33</v>
      </c>
      <c r="D62">
        <v>38</v>
      </c>
      <c r="E62">
        <v>107</v>
      </c>
      <c r="F62">
        <v>71</v>
      </c>
      <c r="G62">
        <v>-14</v>
      </c>
      <c r="H62">
        <v>-7</v>
      </c>
      <c r="I62">
        <v>-1</v>
      </c>
      <c r="J62" t="s">
        <v>831</v>
      </c>
      <c r="K62">
        <v>62</v>
      </c>
      <c r="M62">
        <f t="shared" si="0"/>
        <v>0</v>
      </c>
      <c r="R62" t="s">
        <v>2832</v>
      </c>
    </row>
    <row r="63" spans="1:57" x14ac:dyDescent="0.2">
      <c r="A63" t="s">
        <v>1567</v>
      </c>
      <c r="B63">
        <v>5042</v>
      </c>
      <c r="C63">
        <v>34</v>
      </c>
      <c r="D63">
        <v>20</v>
      </c>
      <c r="E63">
        <v>91</v>
      </c>
      <c r="F63">
        <v>60</v>
      </c>
      <c r="G63">
        <v>-42</v>
      </c>
      <c r="H63">
        <v>-35</v>
      </c>
      <c r="I63">
        <v>-29</v>
      </c>
      <c r="J63" t="s">
        <v>831</v>
      </c>
      <c r="K63">
        <v>63</v>
      </c>
      <c r="M63">
        <f t="shared" si="0"/>
        <v>0</v>
      </c>
      <c r="R63" t="s">
        <v>2833</v>
      </c>
    </row>
    <row r="64" spans="1:57" x14ac:dyDescent="0.2">
      <c r="A64" t="s">
        <v>1568</v>
      </c>
      <c r="B64">
        <v>3176</v>
      </c>
      <c r="C64">
        <v>32</v>
      </c>
      <c r="D64">
        <v>26</v>
      </c>
      <c r="E64">
        <v>99</v>
      </c>
      <c r="F64">
        <v>66</v>
      </c>
      <c r="G64">
        <v>-25</v>
      </c>
      <c r="H64">
        <v>-18</v>
      </c>
      <c r="I64">
        <v>-12</v>
      </c>
      <c r="J64" t="s">
        <v>831</v>
      </c>
      <c r="K64">
        <v>64</v>
      </c>
      <c r="M64">
        <f t="shared" si="0"/>
        <v>0</v>
      </c>
      <c r="R64" t="s">
        <v>2834</v>
      </c>
    </row>
    <row r="65" spans="1:18" x14ac:dyDescent="0.2">
      <c r="A65" t="s">
        <v>1569</v>
      </c>
      <c r="B65">
        <v>2641</v>
      </c>
      <c r="C65">
        <v>32</v>
      </c>
      <c r="D65">
        <v>24</v>
      </c>
      <c r="E65">
        <v>102</v>
      </c>
      <c r="F65">
        <v>65</v>
      </c>
      <c r="G65">
        <v>-39</v>
      </c>
      <c r="H65">
        <v>-30</v>
      </c>
      <c r="I65">
        <v>-24</v>
      </c>
      <c r="J65" t="s">
        <v>831</v>
      </c>
      <c r="K65">
        <v>65</v>
      </c>
      <c r="M65">
        <f t="shared" si="0"/>
        <v>0</v>
      </c>
      <c r="R65" t="s">
        <v>2835</v>
      </c>
    </row>
    <row r="66" spans="1:18" x14ac:dyDescent="0.2">
      <c r="A66" t="s">
        <v>1570</v>
      </c>
      <c r="B66">
        <v>4938</v>
      </c>
      <c r="C66">
        <v>35</v>
      </c>
      <c r="D66">
        <v>14</v>
      </c>
      <c r="E66">
        <v>93</v>
      </c>
      <c r="F66">
        <v>60</v>
      </c>
      <c r="G66">
        <v>-46</v>
      </c>
      <c r="H66">
        <v>-39</v>
      </c>
      <c r="I66">
        <v>-33</v>
      </c>
      <c r="J66" t="s">
        <v>831</v>
      </c>
      <c r="K66">
        <v>66</v>
      </c>
      <c r="M66">
        <f t="shared" si="0"/>
        <v>0</v>
      </c>
      <c r="R66" t="s">
        <v>1762</v>
      </c>
    </row>
    <row r="67" spans="1:18" x14ac:dyDescent="0.2">
      <c r="A67" t="s">
        <v>1209</v>
      </c>
      <c r="B67">
        <v>213</v>
      </c>
      <c r="C67">
        <v>32</v>
      </c>
      <c r="D67">
        <v>44</v>
      </c>
      <c r="E67">
        <v>109</v>
      </c>
      <c r="F67">
        <v>72</v>
      </c>
      <c r="G67">
        <v>-15</v>
      </c>
      <c r="H67">
        <v>-8</v>
      </c>
      <c r="I67">
        <v>-2</v>
      </c>
      <c r="J67" t="s">
        <v>831</v>
      </c>
      <c r="K67">
        <v>67</v>
      </c>
      <c r="M67">
        <f t="shared" si="0"/>
        <v>0</v>
      </c>
      <c r="R67" t="s">
        <v>1763</v>
      </c>
    </row>
    <row r="68" spans="1:18" x14ac:dyDescent="0.2">
      <c r="A68" t="s">
        <v>1210</v>
      </c>
      <c r="B68">
        <v>264</v>
      </c>
      <c r="C68">
        <v>36</v>
      </c>
      <c r="D68">
        <v>18</v>
      </c>
      <c r="E68">
        <v>95</v>
      </c>
      <c r="F68">
        <v>77</v>
      </c>
      <c r="G68">
        <v>42</v>
      </c>
      <c r="H68">
        <v>49</v>
      </c>
      <c r="I68">
        <v>55</v>
      </c>
      <c r="J68" t="s">
        <v>3747</v>
      </c>
      <c r="K68">
        <v>68</v>
      </c>
      <c r="M68">
        <f t="shared" si="0"/>
        <v>0</v>
      </c>
      <c r="R68" t="s">
        <v>1764</v>
      </c>
    </row>
    <row r="69" spans="1:18" x14ac:dyDescent="0.2">
      <c r="A69" t="s">
        <v>1211</v>
      </c>
      <c r="B69">
        <v>130</v>
      </c>
      <c r="C69">
        <v>33</v>
      </c>
      <c r="D69">
        <v>23</v>
      </c>
      <c r="E69">
        <v>96</v>
      </c>
      <c r="F69">
        <v>76</v>
      </c>
      <c r="G69">
        <v>34</v>
      </c>
      <c r="H69">
        <v>41</v>
      </c>
      <c r="I69">
        <v>47</v>
      </c>
      <c r="J69" t="s">
        <v>3747</v>
      </c>
      <c r="K69">
        <v>69</v>
      </c>
      <c r="M69">
        <f t="shared" ref="M69:M74" si="1">HLOOKUP($M$1,$N$1:$BL$74,K69)</f>
        <v>0</v>
      </c>
      <c r="R69" t="s">
        <v>1765</v>
      </c>
    </row>
    <row r="70" spans="1:18" x14ac:dyDescent="0.2">
      <c r="A70" t="s">
        <v>1212</v>
      </c>
      <c r="B70">
        <v>277</v>
      </c>
      <c r="C70">
        <v>33</v>
      </c>
      <c r="D70">
        <v>23</v>
      </c>
      <c r="E70">
        <v>96</v>
      </c>
      <c r="F70">
        <v>76</v>
      </c>
      <c r="G70">
        <v>34</v>
      </c>
      <c r="H70">
        <v>41</v>
      </c>
      <c r="I70">
        <v>47</v>
      </c>
      <c r="J70" t="s">
        <v>3747</v>
      </c>
      <c r="K70">
        <v>70</v>
      </c>
      <c r="M70">
        <f t="shared" si="1"/>
        <v>0</v>
      </c>
      <c r="R70" t="s">
        <v>1766</v>
      </c>
    </row>
    <row r="71" spans="1:18" x14ac:dyDescent="0.2">
      <c r="A71" t="s">
        <v>1213</v>
      </c>
      <c r="B71">
        <v>1251</v>
      </c>
      <c r="C71">
        <v>36</v>
      </c>
      <c r="D71">
        <v>13</v>
      </c>
      <c r="E71">
        <v>93</v>
      </c>
      <c r="F71">
        <v>75</v>
      </c>
      <c r="G71">
        <v>33</v>
      </c>
      <c r="H71">
        <v>40</v>
      </c>
      <c r="I71">
        <v>46</v>
      </c>
      <c r="J71" t="s">
        <v>3747</v>
      </c>
      <c r="K71">
        <v>71</v>
      </c>
      <c r="M71">
        <f t="shared" si="1"/>
        <v>0</v>
      </c>
      <c r="R71" t="s">
        <v>1767</v>
      </c>
    </row>
    <row r="72" spans="1:18" x14ac:dyDescent="0.2">
      <c r="A72" t="s">
        <v>79</v>
      </c>
      <c r="B72">
        <v>469</v>
      </c>
      <c r="C72">
        <v>35</v>
      </c>
      <c r="D72">
        <v>19</v>
      </c>
      <c r="E72">
        <v>96</v>
      </c>
      <c r="F72">
        <v>76</v>
      </c>
      <c r="G72">
        <v>34</v>
      </c>
      <c r="H72">
        <v>41</v>
      </c>
      <c r="I72">
        <v>47</v>
      </c>
      <c r="J72" t="s">
        <v>3747</v>
      </c>
      <c r="K72">
        <v>72</v>
      </c>
      <c r="M72">
        <f t="shared" si="1"/>
        <v>0</v>
      </c>
      <c r="R72" t="s">
        <v>1768</v>
      </c>
    </row>
    <row r="73" spans="1:18" x14ac:dyDescent="0.2">
      <c r="A73" t="s">
        <v>80</v>
      </c>
      <c r="B73">
        <v>540</v>
      </c>
      <c r="C73">
        <v>34</v>
      </c>
      <c r="D73">
        <v>23</v>
      </c>
      <c r="E73">
        <v>97</v>
      </c>
      <c r="F73">
        <v>77</v>
      </c>
      <c r="G73">
        <v>39</v>
      </c>
      <c r="H73">
        <v>46</v>
      </c>
      <c r="I73">
        <v>52</v>
      </c>
      <c r="J73" t="s">
        <v>3747</v>
      </c>
      <c r="K73">
        <v>73</v>
      </c>
      <c r="M73">
        <f t="shared" si="1"/>
        <v>0</v>
      </c>
      <c r="R73" t="s">
        <v>1769</v>
      </c>
    </row>
    <row r="74" spans="1:18" x14ac:dyDescent="0.2">
      <c r="A74" t="s">
        <v>81</v>
      </c>
      <c r="B74">
        <v>35</v>
      </c>
      <c r="C74">
        <v>15</v>
      </c>
      <c r="D74">
        <v>94</v>
      </c>
      <c r="E74">
        <v>77</v>
      </c>
      <c r="F74">
        <v>44</v>
      </c>
      <c r="G74">
        <v>51</v>
      </c>
      <c r="H74">
        <v>57</v>
      </c>
      <c r="I74" t="s">
        <v>3747</v>
      </c>
      <c r="K74">
        <v>74</v>
      </c>
      <c r="M74">
        <f t="shared" si="1"/>
        <v>0</v>
      </c>
      <c r="R74" t="s">
        <v>1770</v>
      </c>
    </row>
    <row r="75" spans="1:18" x14ac:dyDescent="0.2">
      <c r="A75" t="s">
        <v>82</v>
      </c>
      <c r="B75">
        <v>260</v>
      </c>
      <c r="C75">
        <v>34</v>
      </c>
      <c r="D75">
        <v>21</v>
      </c>
      <c r="E75">
        <v>95</v>
      </c>
      <c r="F75">
        <v>77</v>
      </c>
      <c r="G75">
        <v>42</v>
      </c>
      <c r="H75">
        <v>49</v>
      </c>
      <c r="I75">
        <v>55</v>
      </c>
      <c r="J75" t="s">
        <v>3747</v>
      </c>
    </row>
    <row r="76" spans="1:18" x14ac:dyDescent="0.2">
      <c r="A76" t="s">
        <v>83</v>
      </c>
      <c r="B76">
        <v>206</v>
      </c>
      <c r="C76">
        <v>34</v>
      </c>
      <c r="D76">
        <v>22</v>
      </c>
      <c r="E76">
        <v>97</v>
      </c>
      <c r="F76">
        <v>77</v>
      </c>
      <c r="G76">
        <v>39</v>
      </c>
      <c r="H76">
        <v>46</v>
      </c>
      <c r="I76">
        <v>52</v>
      </c>
      <c r="J76" t="s">
        <v>3747</v>
      </c>
    </row>
    <row r="77" spans="1:18" x14ac:dyDescent="0.2">
      <c r="A77" t="s">
        <v>84</v>
      </c>
      <c r="B77">
        <v>389</v>
      </c>
      <c r="C77">
        <v>33</v>
      </c>
      <c r="D77">
        <v>25</v>
      </c>
      <c r="E77">
        <v>95</v>
      </c>
      <c r="F77">
        <v>77</v>
      </c>
      <c r="G77">
        <v>42</v>
      </c>
      <c r="H77">
        <v>49</v>
      </c>
      <c r="I77">
        <v>55</v>
      </c>
      <c r="J77" t="s">
        <v>3747</v>
      </c>
    </row>
    <row r="78" spans="1:18" x14ac:dyDescent="0.2">
      <c r="A78" t="s">
        <v>85</v>
      </c>
      <c r="B78">
        <v>15</v>
      </c>
      <c r="C78">
        <v>37</v>
      </c>
      <c r="D78">
        <v>42</v>
      </c>
      <c r="E78">
        <v>79</v>
      </c>
      <c r="F78">
        <v>64</v>
      </c>
      <c r="G78">
        <v>-6</v>
      </c>
      <c r="H78">
        <v>1</v>
      </c>
      <c r="I78">
        <v>7</v>
      </c>
      <c r="J78" t="s">
        <v>3747</v>
      </c>
    </row>
    <row r="79" spans="1:18" x14ac:dyDescent="0.2">
      <c r="A79" t="s">
        <v>86</v>
      </c>
      <c r="B79">
        <v>507</v>
      </c>
      <c r="C79">
        <v>35</v>
      </c>
      <c r="D79">
        <v>35</v>
      </c>
      <c r="E79">
        <v>101</v>
      </c>
      <c r="F79">
        <v>69</v>
      </c>
      <c r="G79">
        <v>-15</v>
      </c>
      <c r="H79">
        <v>-8</v>
      </c>
      <c r="I79">
        <v>-2</v>
      </c>
      <c r="J79" t="s">
        <v>831</v>
      </c>
    </row>
    <row r="80" spans="1:18" x14ac:dyDescent="0.2">
      <c r="A80" t="s">
        <v>87</v>
      </c>
      <c r="B80">
        <v>1927</v>
      </c>
      <c r="C80">
        <v>34</v>
      </c>
      <c r="D80">
        <v>32</v>
      </c>
      <c r="E80">
        <v>105</v>
      </c>
      <c r="F80">
        <v>67</v>
      </c>
      <c r="G80">
        <v>-32</v>
      </c>
      <c r="H80">
        <v>-25</v>
      </c>
      <c r="I80">
        <v>-19</v>
      </c>
      <c r="J80" t="s">
        <v>831</v>
      </c>
    </row>
    <row r="81" spans="1:10" x14ac:dyDescent="0.2">
      <c r="A81" t="s">
        <v>88</v>
      </c>
      <c r="B81">
        <v>5280</v>
      </c>
      <c r="C81">
        <v>39</v>
      </c>
      <c r="D81">
        <v>24</v>
      </c>
      <c r="E81">
        <v>81</v>
      </c>
      <c r="F81">
        <v>57</v>
      </c>
      <c r="G81">
        <v>-41</v>
      </c>
      <c r="H81">
        <v>-34</v>
      </c>
      <c r="I81">
        <v>-28</v>
      </c>
      <c r="J81" t="s">
        <v>3747</v>
      </c>
    </row>
    <row r="82" spans="1:10" x14ac:dyDescent="0.2">
      <c r="A82" t="s">
        <v>89</v>
      </c>
      <c r="B82">
        <v>397</v>
      </c>
      <c r="C82">
        <v>33</v>
      </c>
      <c r="D82">
        <v>33</v>
      </c>
      <c r="E82">
        <v>110</v>
      </c>
      <c r="F82">
        <v>71</v>
      </c>
      <c r="G82">
        <v>-18</v>
      </c>
      <c r="H82">
        <v>-11</v>
      </c>
      <c r="I82">
        <v>-5</v>
      </c>
      <c r="J82" t="s">
        <v>831</v>
      </c>
    </row>
    <row r="83" spans="1:10" x14ac:dyDescent="0.2">
      <c r="A83" t="s">
        <v>90</v>
      </c>
      <c r="B83">
        <v>775</v>
      </c>
      <c r="C83">
        <v>34</v>
      </c>
      <c r="D83">
        <v>41</v>
      </c>
      <c r="E83">
        <v>95</v>
      </c>
      <c r="F83">
        <v>69</v>
      </c>
      <c r="G83">
        <v>-6</v>
      </c>
      <c r="H83">
        <v>1</v>
      </c>
      <c r="I83">
        <v>7</v>
      </c>
      <c r="J83" t="s">
        <v>3747</v>
      </c>
    </row>
    <row r="84" spans="1:10" x14ac:dyDescent="0.2">
      <c r="A84" t="s">
        <v>91</v>
      </c>
      <c r="B84">
        <v>238</v>
      </c>
      <c r="C84">
        <v>39</v>
      </c>
      <c r="D84">
        <v>30</v>
      </c>
      <c r="E84">
        <v>101</v>
      </c>
      <c r="F84">
        <v>68</v>
      </c>
      <c r="G84">
        <v>-22</v>
      </c>
      <c r="H84">
        <v>-15</v>
      </c>
      <c r="I84">
        <v>-9</v>
      </c>
      <c r="J84" t="s">
        <v>831</v>
      </c>
    </row>
    <row r="85" spans="1:10" x14ac:dyDescent="0.2">
      <c r="A85" t="s">
        <v>92</v>
      </c>
      <c r="B85">
        <v>23</v>
      </c>
      <c r="C85">
        <v>38</v>
      </c>
      <c r="D85">
        <v>27</v>
      </c>
      <c r="E85">
        <v>97</v>
      </c>
      <c r="F85">
        <v>68</v>
      </c>
      <c r="G85">
        <v>-14</v>
      </c>
      <c r="H85">
        <v>-7</v>
      </c>
      <c r="I85">
        <v>-1</v>
      </c>
      <c r="J85" t="s">
        <v>831</v>
      </c>
    </row>
    <row r="86" spans="1:10" x14ac:dyDescent="0.2">
      <c r="A86" t="s">
        <v>93</v>
      </c>
      <c r="B86">
        <v>575</v>
      </c>
      <c r="C86">
        <v>34</v>
      </c>
      <c r="D86">
        <v>35</v>
      </c>
      <c r="E86">
        <v>95</v>
      </c>
      <c r="F86">
        <v>68</v>
      </c>
      <c r="G86">
        <v>-11</v>
      </c>
      <c r="H86">
        <v>-5</v>
      </c>
      <c r="I86">
        <v>2</v>
      </c>
      <c r="J86" t="s">
        <v>831</v>
      </c>
    </row>
    <row r="87" spans="1:10" x14ac:dyDescent="0.2">
      <c r="A87" t="s">
        <v>2371</v>
      </c>
      <c r="B87">
        <v>57</v>
      </c>
      <c r="C87">
        <v>41</v>
      </c>
      <c r="D87">
        <v>33</v>
      </c>
      <c r="E87">
        <v>65</v>
      </c>
      <c r="F87">
        <v>59</v>
      </c>
      <c r="G87">
        <v>-6</v>
      </c>
      <c r="H87">
        <v>1</v>
      </c>
      <c r="I87">
        <v>7</v>
      </c>
      <c r="J87" t="s">
        <v>3747</v>
      </c>
    </row>
    <row r="88" spans="1:10" x14ac:dyDescent="0.2">
      <c r="A88" t="s">
        <v>2372</v>
      </c>
      <c r="B88">
        <v>110</v>
      </c>
      <c r="C88">
        <v>34</v>
      </c>
      <c r="D88">
        <v>40</v>
      </c>
      <c r="E88">
        <v>89</v>
      </c>
      <c r="F88">
        <v>70</v>
      </c>
      <c r="G88">
        <v>9</v>
      </c>
      <c r="H88">
        <v>15</v>
      </c>
      <c r="I88">
        <v>22</v>
      </c>
      <c r="J88" t="s">
        <v>3747</v>
      </c>
    </row>
    <row r="89" spans="1:10" x14ac:dyDescent="0.2">
      <c r="A89" t="s">
        <v>3378</v>
      </c>
      <c r="B89">
        <v>387</v>
      </c>
      <c r="C89">
        <v>32</v>
      </c>
      <c r="D89">
        <v>44</v>
      </c>
      <c r="E89">
        <v>80</v>
      </c>
      <c r="F89">
        <v>69</v>
      </c>
      <c r="G89">
        <v>19</v>
      </c>
      <c r="H89">
        <v>26</v>
      </c>
      <c r="I89">
        <v>32</v>
      </c>
      <c r="J89" t="s">
        <v>831</v>
      </c>
    </row>
    <row r="90" spans="1:10" x14ac:dyDescent="0.2">
      <c r="A90" t="s">
        <v>3379</v>
      </c>
      <c r="B90">
        <v>-30</v>
      </c>
      <c r="C90">
        <v>32</v>
      </c>
      <c r="D90">
        <v>38</v>
      </c>
      <c r="E90">
        <v>110</v>
      </c>
      <c r="F90">
        <v>74</v>
      </c>
      <c r="G90">
        <v>-3</v>
      </c>
      <c r="H90">
        <v>4</v>
      </c>
      <c r="I90">
        <v>10</v>
      </c>
      <c r="J90" t="s">
        <v>831</v>
      </c>
    </row>
    <row r="91" spans="1:10" x14ac:dyDescent="0.2">
      <c r="A91" t="s">
        <v>3380</v>
      </c>
      <c r="B91">
        <v>660</v>
      </c>
      <c r="C91">
        <v>33</v>
      </c>
      <c r="D91">
        <v>41</v>
      </c>
      <c r="E91">
        <v>85</v>
      </c>
      <c r="F91">
        <v>68</v>
      </c>
      <c r="G91">
        <v>5</v>
      </c>
      <c r="H91">
        <v>12</v>
      </c>
      <c r="I91">
        <v>18</v>
      </c>
      <c r="J91" t="s">
        <v>831</v>
      </c>
    </row>
    <row r="92" spans="1:10" x14ac:dyDescent="0.2">
      <c r="A92" t="s">
        <v>3381</v>
      </c>
      <c r="B92">
        <v>217</v>
      </c>
      <c r="C92">
        <v>41</v>
      </c>
      <c r="D92">
        <v>32</v>
      </c>
      <c r="E92">
        <v>67</v>
      </c>
      <c r="F92">
        <v>59</v>
      </c>
      <c r="G92">
        <v>-10</v>
      </c>
      <c r="H92">
        <v>-3</v>
      </c>
      <c r="I92">
        <v>3</v>
      </c>
      <c r="J92" t="s">
        <v>1527</v>
      </c>
    </row>
    <row r="93" spans="1:10" x14ac:dyDescent="0.2">
      <c r="A93" t="s">
        <v>3382</v>
      </c>
      <c r="B93">
        <v>62</v>
      </c>
      <c r="C93">
        <v>38</v>
      </c>
      <c r="D93">
        <v>34</v>
      </c>
      <c r="E93">
        <v>94</v>
      </c>
      <c r="F93">
        <v>67</v>
      </c>
      <c r="G93">
        <v>-15</v>
      </c>
      <c r="H93">
        <v>-8</v>
      </c>
      <c r="I93">
        <v>-2</v>
      </c>
      <c r="J93" t="s">
        <v>831</v>
      </c>
    </row>
    <row r="94" spans="1:10" x14ac:dyDescent="0.2">
      <c r="A94" t="s">
        <v>3383</v>
      </c>
      <c r="B94">
        <v>328</v>
      </c>
      <c r="C94">
        <v>36</v>
      </c>
      <c r="D94">
        <v>32</v>
      </c>
      <c r="E94">
        <v>101</v>
      </c>
      <c r="F94">
        <v>70</v>
      </c>
      <c r="G94">
        <v>-10</v>
      </c>
      <c r="H94">
        <v>-3</v>
      </c>
      <c r="I94">
        <v>3</v>
      </c>
      <c r="J94" t="s">
        <v>831</v>
      </c>
    </row>
    <row r="95" spans="1:10" x14ac:dyDescent="0.2">
      <c r="A95" t="s">
        <v>3384</v>
      </c>
      <c r="B95">
        <v>3</v>
      </c>
      <c r="C95">
        <v>38</v>
      </c>
      <c r="D95">
        <v>32</v>
      </c>
      <c r="E95">
        <v>84</v>
      </c>
      <c r="F95">
        <v>66</v>
      </c>
      <c r="G95">
        <v>-4</v>
      </c>
      <c r="H95">
        <v>3</v>
      </c>
      <c r="I95">
        <v>9</v>
      </c>
      <c r="J95" t="s">
        <v>831</v>
      </c>
    </row>
    <row r="96" spans="1:10" x14ac:dyDescent="0.2">
      <c r="A96" t="s">
        <v>3385</v>
      </c>
      <c r="B96">
        <v>35</v>
      </c>
      <c r="C96">
        <v>33</v>
      </c>
      <c r="D96">
        <v>43</v>
      </c>
      <c r="E96">
        <v>80</v>
      </c>
      <c r="F96">
        <v>68</v>
      </c>
      <c r="G96">
        <v>0</v>
      </c>
      <c r="H96">
        <v>3</v>
      </c>
      <c r="I96">
        <v>6</v>
      </c>
      <c r="J96" t="s">
        <v>3747</v>
      </c>
    </row>
    <row r="97" spans="1:10" x14ac:dyDescent="0.2">
      <c r="A97" t="s">
        <v>94</v>
      </c>
      <c r="B97">
        <v>237</v>
      </c>
      <c r="C97">
        <v>36</v>
      </c>
      <c r="D97">
        <v>32</v>
      </c>
      <c r="E97">
        <v>101</v>
      </c>
      <c r="F97">
        <v>71</v>
      </c>
      <c r="G97">
        <v>-4</v>
      </c>
      <c r="H97">
        <v>3</v>
      </c>
      <c r="I97">
        <v>9</v>
      </c>
      <c r="J97" t="s">
        <v>831</v>
      </c>
    </row>
    <row r="98" spans="1:10" x14ac:dyDescent="0.2">
      <c r="A98" t="s">
        <v>95</v>
      </c>
      <c r="B98">
        <v>397</v>
      </c>
      <c r="C98">
        <v>38</v>
      </c>
      <c r="D98">
        <v>97</v>
      </c>
      <c r="E98">
        <v>68</v>
      </c>
      <c r="F98">
        <v>-14</v>
      </c>
      <c r="G98">
        <v>-3</v>
      </c>
      <c r="H98">
        <v>3</v>
      </c>
      <c r="I98">
        <v>10</v>
      </c>
      <c r="J98" s="1310" t="s">
        <v>831</v>
      </c>
    </row>
    <row r="99" spans="1:10" x14ac:dyDescent="0.2">
      <c r="A99" t="s">
        <v>96</v>
      </c>
      <c r="B99">
        <v>87</v>
      </c>
      <c r="C99">
        <v>34</v>
      </c>
      <c r="D99">
        <v>38</v>
      </c>
      <c r="E99">
        <v>70</v>
      </c>
      <c r="F99">
        <v>61</v>
      </c>
      <c r="G99">
        <v>-5</v>
      </c>
      <c r="H99">
        <v>2</v>
      </c>
      <c r="I99">
        <v>8</v>
      </c>
      <c r="J99" t="s">
        <v>3747</v>
      </c>
    </row>
    <row r="100" spans="1:10" x14ac:dyDescent="0.2">
      <c r="A100" s="1310" t="s">
        <v>4194</v>
      </c>
      <c r="B100">
        <v>39</v>
      </c>
      <c r="C100">
        <v>34</v>
      </c>
      <c r="D100">
        <v>44</v>
      </c>
      <c r="E100">
        <v>88</v>
      </c>
      <c r="F100">
        <v>67</v>
      </c>
      <c r="G100">
        <v>-4</v>
      </c>
      <c r="H100">
        <v>3</v>
      </c>
      <c r="I100">
        <v>9</v>
      </c>
      <c r="J100" s="1310" t="s">
        <v>3747</v>
      </c>
    </row>
    <row r="101" spans="1:10" x14ac:dyDescent="0.2">
      <c r="A101" t="s">
        <v>97</v>
      </c>
      <c r="B101">
        <v>97</v>
      </c>
      <c r="C101">
        <v>34</v>
      </c>
      <c r="D101">
        <v>45</v>
      </c>
      <c r="E101">
        <v>81</v>
      </c>
      <c r="F101">
        <v>64</v>
      </c>
      <c r="G101">
        <v>-9</v>
      </c>
      <c r="H101">
        <v>-2</v>
      </c>
      <c r="I101">
        <v>8</v>
      </c>
      <c r="J101" t="s">
        <v>1527</v>
      </c>
    </row>
    <row r="102" spans="1:10" x14ac:dyDescent="0.2">
      <c r="A102" t="s">
        <v>3013</v>
      </c>
      <c r="B102">
        <v>270</v>
      </c>
      <c r="C102">
        <v>34</v>
      </c>
      <c r="D102">
        <v>40</v>
      </c>
      <c r="E102">
        <v>89</v>
      </c>
      <c r="F102">
        <v>70</v>
      </c>
      <c r="G102">
        <v>10</v>
      </c>
      <c r="H102">
        <v>17</v>
      </c>
      <c r="I102">
        <v>23</v>
      </c>
      <c r="J102" t="s">
        <v>3747</v>
      </c>
    </row>
    <row r="103" spans="1:10" x14ac:dyDescent="0.2">
      <c r="A103" t="s">
        <v>3014</v>
      </c>
      <c r="B103">
        <v>119</v>
      </c>
      <c r="C103">
        <v>39</v>
      </c>
      <c r="D103">
        <v>34</v>
      </c>
      <c r="E103">
        <v>98</v>
      </c>
      <c r="F103">
        <v>69</v>
      </c>
      <c r="G103">
        <v>-10</v>
      </c>
      <c r="H103">
        <v>-3</v>
      </c>
      <c r="I103">
        <v>3</v>
      </c>
      <c r="J103" t="s">
        <v>831</v>
      </c>
    </row>
    <row r="104" spans="1:10" x14ac:dyDescent="0.2">
      <c r="A104" t="s">
        <v>3015</v>
      </c>
      <c r="B104">
        <v>188</v>
      </c>
      <c r="C104">
        <v>37</v>
      </c>
      <c r="D104">
        <v>32</v>
      </c>
      <c r="E104">
        <v>97</v>
      </c>
      <c r="F104">
        <v>69</v>
      </c>
      <c r="G104">
        <v>-9</v>
      </c>
      <c r="H104">
        <v>-2</v>
      </c>
      <c r="I104">
        <v>4</v>
      </c>
      <c r="J104" t="s">
        <v>831</v>
      </c>
    </row>
    <row r="105" spans="1:10" x14ac:dyDescent="0.2">
      <c r="A105" t="s">
        <v>3016</v>
      </c>
      <c r="B105">
        <v>97</v>
      </c>
      <c r="C105">
        <v>37</v>
      </c>
      <c r="D105">
        <v>30</v>
      </c>
      <c r="E105">
        <v>98</v>
      </c>
      <c r="F105">
        <v>68</v>
      </c>
      <c r="G105">
        <v>-16</v>
      </c>
      <c r="H105">
        <v>-9</v>
      </c>
      <c r="I105">
        <v>-3</v>
      </c>
      <c r="J105" t="s">
        <v>831</v>
      </c>
    </row>
    <row r="106" spans="1:10" x14ac:dyDescent="0.2">
      <c r="A106" t="s">
        <v>3017</v>
      </c>
      <c r="B106">
        <v>162</v>
      </c>
      <c r="C106">
        <v>36</v>
      </c>
      <c r="D106">
        <v>38</v>
      </c>
      <c r="E106">
        <v>71</v>
      </c>
      <c r="F106">
        <v>61</v>
      </c>
      <c r="G106">
        <v>-7</v>
      </c>
      <c r="H106">
        <v>0</v>
      </c>
      <c r="I106">
        <v>6</v>
      </c>
      <c r="J106" t="s">
        <v>3747</v>
      </c>
    </row>
    <row r="107" spans="1:10" x14ac:dyDescent="0.2">
      <c r="A107" t="s">
        <v>3018</v>
      </c>
      <c r="B107">
        <v>3543</v>
      </c>
      <c r="C107">
        <v>41</v>
      </c>
      <c r="D107">
        <v>21</v>
      </c>
      <c r="E107">
        <v>88</v>
      </c>
      <c r="F107">
        <v>61</v>
      </c>
      <c r="G107">
        <v>-33</v>
      </c>
      <c r="H107">
        <v>-26</v>
      </c>
      <c r="I107">
        <v>-20</v>
      </c>
      <c r="J107" t="s">
        <v>831</v>
      </c>
    </row>
    <row r="108" spans="1:10" x14ac:dyDescent="0.2">
      <c r="A108" t="s">
        <v>3019</v>
      </c>
      <c r="B108">
        <v>34</v>
      </c>
      <c r="C108">
        <v>37</v>
      </c>
      <c r="D108">
        <v>39</v>
      </c>
      <c r="E108">
        <v>84</v>
      </c>
      <c r="F108">
        <v>65</v>
      </c>
      <c r="G108">
        <v>-9</v>
      </c>
      <c r="H108">
        <v>-2</v>
      </c>
      <c r="I108">
        <v>4</v>
      </c>
      <c r="J108" t="s">
        <v>3747</v>
      </c>
    </row>
    <row r="109" spans="1:10" x14ac:dyDescent="0.2">
      <c r="A109" t="s">
        <v>3020</v>
      </c>
      <c r="B109">
        <v>33</v>
      </c>
      <c r="C109">
        <v>38</v>
      </c>
      <c r="D109">
        <v>32</v>
      </c>
      <c r="E109">
        <v>96</v>
      </c>
      <c r="F109">
        <v>68</v>
      </c>
      <c r="G109">
        <v>-12</v>
      </c>
      <c r="H109">
        <v>-5</v>
      </c>
      <c r="I109">
        <v>1</v>
      </c>
      <c r="J109" t="s">
        <v>831</v>
      </c>
    </row>
    <row r="110" spans="1:10" x14ac:dyDescent="0.2">
      <c r="A110" t="s">
        <v>3021</v>
      </c>
      <c r="B110">
        <v>983</v>
      </c>
      <c r="C110">
        <v>34</v>
      </c>
      <c r="D110">
        <v>33</v>
      </c>
      <c r="E110">
        <v>110</v>
      </c>
      <c r="F110">
        <v>71</v>
      </c>
      <c r="G110">
        <v>-18</v>
      </c>
      <c r="H110">
        <v>-11</v>
      </c>
      <c r="I110">
        <v>-5</v>
      </c>
      <c r="J110" t="s">
        <v>831</v>
      </c>
    </row>
    <row r="111" spans="1:10" x14ac:dyDescent="0.2">
      <c r="A111" t="s">
        <v>3022</v>
      </c>
      <c r="B111">
        <v>6</v>
      </c>
      <c r="C111">
        <v>37</v>
      </c>
      <c r="D111">
        <v>36</v>
      </c>
      <c r="E111">
        <v>80</v>
      </c>
      <c r="F111">
        <v>63</v>
      </c>
      <c r="G111">
        <v>-12</v>
      </c>
      <c r="H111">
        <v>-5</v>
      </c>
      <c r="I111">
        <v>1</v>
      </c>
      <c r="J111" t="s">
        <v>3747</v>
      </c>
    </row>
    <row r="112" spans="1:10" x14ac:dyDescent="0.2">
      <c r="A112" t="s">
        <v>3023</v>
      </c>
      <c r="B112">
        <v>28</v>
      </c>
      <c r="C112">
        <v>33</v>
      </c>
      <c r="D112">
        <v>43</v>
      </c>
      <c r="E112">
        <v>80</v>
      </c>
      <c r="F112">
        <v>68</v>
      </c>
      <c r="G112">
        <v>13</v>
      </c>
      <c r="H112">
        <v>20</v>
      </c>
      <c r="I112">
        <v>26</v>
      </c>
      <c r="J112" t="s">
        <v>1527</v>
      </c>
    </row>
    <row r="113" spans="1:10" x14ac:dyDescent="0.2">
      <c r="A113" t="s">
        <v>3024</v>
      </c>
      <c r="B113">
        <v>952</v>
      </c>
      <c r="C113">
        <v>34</v>
      </c>
      <c r="D113">
        <v>38</v>
      </c>
      <c r="E113">
        <v>98</v>
      </c>
      <c r="F113">
        <v>70</v>
      </c>
      <c r="G113">
        <v>-5</v>
      </c>
      <c r="H113">
        <v>2</v>
      </c>
      <c r="I113">
        <v>8</v>
      </c>
      <c r="J113" t="s">
        <v>831</v>
      </c>
    </row>
    <row r="114" spans="1:10" x14ac:dyDescent="0.2">
      <c r="A114" t="s">
        <v>3025</v>
      </c>
      <c r="B114">
        <v>7</v>
      </c>
      <c r="C114">
        <v>34</v>
      </c>
      <c r="D114">
        <v>41</v>
      </c>
      <c r="E114">
        <v>79</v>
      </c>
      <c r="F114">
        <v>64</v>
      </c>
      <c r="G114">
        <v>-6</v>
      </c>
      <c r="H114">
        <v>1</v>
      </c>
      <c r="I114">
        <v>7</v>
      </c>
      <c r="J114" t="s">
        <v>3747</v>
      </c>
    </row>
    <row r="115" spans="1:10" x14ac:dyDescent="0.2">
      <c r="A115" t="s">
        <v>3026</v>
      </c>
      <c r="B115">
        <v>2542</v>
      </c>
      <c r="C115">
        <v>34</v>
      </c>
      <c r="D115">
        <v>24</v>
      </c>
      <c r="E115">
        <v>98</v>
      </c>
      <c r="F115">
        <v>65</v>
      </c>
      <c r="G115">
        <v>-31</v>
      </c>
      <c r="H115">
        <v>-24</v>
      </c>
      <c r="I115">
        <v>-18</v>
      </c>
      <c r="J115" t="s">
        <v>831</v>
      </c>
    </row>
    <row r="116" spans="1:10" x14ac:dyDescent="0.2">
      <c r="A116" t="s">
        <v>3027</v>
      </c>
      <c r="B116">
        <v>462</v>
      </c>
      <c r="C116">
        <v>33</v>
      </c>
      <c r="D116">
        <v>35</v>
      </c>
      <c r="E116">
        <v>110</v>
      </c>
      <c r="F116">
        <v>70</v>
      </c>
      <c r="G116">
        <v>-24</v>
      </c>
      <c r="H116">
        <v>-17</v>
      </c>
      <c r="I116">
        <v>-11</v>
      </c>
      <c r="J116" t="s">
        <v>831</v>
      </c>
    </row>
    <row r="117" spans="1:10" x14ac:dyDescent="0.2">
      <c r="A117" t="s">
        <v>3028</v>
      </c>
      <c r="B117">
        <v>864</v>
      </c>
      <c r="C117">
        <v>34</v>
      </c>
      <c r="D117">
        <v>35</v>
      </c>
      <c r="E117">
        <v>95</v>
      </c>
      <c r="F117">
        <v>68</v>
      </c>
      <c r="G117">
        <v>-11</v>
      </c>
      <c r="H117">
        <v>-4</v>
      </c>
      <c r="I117">
        <v>2</v>
      </c>
      <c r="J117" t="s">
        <v>831</v>
      </c>
    </row>
    <row r="118" spans="1:10" x14ac:dyDescent="0.2">
      <c r="A118" t="s">
        <v>3029</v>
      </c>
      <c r="B118">
        <v>837</v>
      </c>
      <c r="C118">
        <v>35</v>
      </c>
      <c r="D118">
        <v>29</v>
      </c>
      <c r="E118">
        <v>98</v>
      </c>
      <c r="F118">
        <v>67</v>
      </c>
      <c r="G118">
        <v>-21</v>
      </c>
      <c r="H118">
        <v>-14</v>
      </c>
      <c r="I118">
        <v>-8</v>
      </c>
      <c r="J118" t="s">
        <v>831</v>
      </c>
    </row>
    <row r="119" spans="1:10" x14ac:dyDescent="0.2">
      <c r="A119" t="s">
        <v>3030</v>
      </c>
      <c r="B119">
        <v>87</v>
      </c>
      <c r="C119">
        <v>38</v>
      </c>
      <c r="D119">
        <v>29</v>
      </c>
      <c r="E119">
        <v>90</v>
      </c>
      <c r="F119">
        <v>66</v>
      </c>
      <c r="G119">
        <v>-13</v>
      </c>
      <c r="H119">
        <v>-6</v>
      </c>
      <c r="I119">
        <v>0</v>
      </c>
      <c r="J119" t="s">
        <v>831</v>
      </c>
    </row>
    <row r="120" spans="1:10" x14ac:dyDescent="0.2">
      <c r="A120" t="s">
        <v>3031</v>
      </c>
      <c r="B120">
        <v>934</v>
      </c>
      <c r="C120">
        <v>34</v>
      </c>
      <c r="D120">
        <v>30</v>
      </c>
      <c r="E120">
        <v>99</v>
      </c>
      <c r="F120">
        <v>69</v>
      </c>
      <c r="G120">
        <v>-12</v>
      </c>
      <c r="H120">
        <v>-5</v>
      </c>
      <c r="I120">
        <v>1</v>
      </c>
      <c r="J120" t="s">
        <v>831</v>
      </c>
    </row>
    <row r="121" spans="1:10" x14ac:dyDescent="0.2">
      <c r="A121" t="s">
        <v>3032</v>
      </c>
      <c r="B121">
        <v>342</v>
      </c>
      <c r="C121">
        <v>40</v>
      </c>
      <c r="D121">
        <v>32</v>
      </c>
      <c r="E121">
        <v>102</v>
      </c>
      <c r="F121">
        <v>69</v>
      </c>
      <c r="G121">
        <v>-17</v>
      </c>
      <c r="H121">
        <v>-10</v>
      </c>
      <c r="I121">
        <v>-4</v>
      </c>
      <c r="J121" t="s">
        <v>831</v>
      </c>
    </row>
    <row r="122" spans="1:10" x14ac:dyDescent="0.2">
      <c r="A122" t="s">
        <v>3033</v>
      </c>
      <c r="B122">
        <v>502</v>
      </c>
      <c r="C122">
        <v>40</v>
      </c>
      <c r="D122">
        <v>31</v>
      </c>
      <c r="E122">
        <v>102</v>
      </c>
      <c r="F122">
        <v>67</v>
      </c>
      <c r="G122">
        <v>-27</v>
      </c>
      <c r="H122">
        <v>-20</v>
      </c>
      <c r="I122">
        <v>-14</v>
      </c>
      <c r="J122" t="s">
        <v>831</v>
      </c>
    </row>
    <row r="123" spans="1:10" x14ac:dyDescent="0.2">
      <c r="A123" t="s">
        <v>3034</v>
      </c>
      <c r="B123">
        <v>1571</v>
      </c>
      <c r="C123">
        <v>34</v>
      </c>
      <c r="D123">
        <v>33</v>
      </c>
      <c r="E123">
        <v>99</v>
      </c>
      <c r="F123">
        <v>69</v>
      </c>
      <c r="G123">
        <v>-12</v>
      </c>
      <c r="H123">
        <v>-5</v>
      </c>
      <c r="I123">
        <v>1</v>
      </c>
      <c r="J123" t="s">
        <v>831</v>
      </c>
    </row>
    <row r="124" spans="1:10" x14ac:dyDescent="0.2">
      <c r="A124" t="s">
        <v>3035</v>
      </c>
      <c r="B124">
        <v>55</v>
      </c>
      <c r="C124">
        <v>38</v>
      </c>
      <c r="D124">
        <v>36</v>
      </c>
      <c r="E124">
        <v>80</v>
      </c>
      <c r="F124">
        <v>63</v>
      </c>
      <c r="G124">
        <v>-12</v>
      </c>
      <c r="H124">
        <v>-6</v>
      </c>
      <c r="I124">
        <v>1</v>
      </c>
      <c r="J124" t="s">
        <v>3747</v>
      </c>
    </row>
    <row r="125" spans="1:10" x14ac:dyDescent="0.2">
      <c r="A125" t="s">
        <v>3036</v>
      </c>
      <c r="B125">
        <v>1533</v>
      </c>
      <c r="C125">
        <v>33</v>
      </c>
      <c r="D125">
        <v>36</v>
      </c>
      <c r="E125">
        <v>98</v>
      </c>
      <c r="F125">
        <v>68</v>
      </c>
      <c r="G125">
        <v>-16</v>
      </c>
      <c r="H125">
        <v>-9</v>
      </c>
      <c r="I125">
        <v>-3</v>
      </c>
      <c r="J125" t="s">
        <v>831</v>
      </c>
    </row>
    <row r="126" spans="1:10" x14ac:dyDescent="0.2">
      <c r="A126" t="s">
        <v>3037</v>
      </c>
      <c r="B126">
        <v>95</v>
      </c>
      <c r="C126">
        <v>38</v>
      </c>
      <c r="D126">
        <v>32</v>
      </c>
      <c r="E126">
        <v>97</v>
      </c>
      <c r="F126">
        <v>68</v>
      </c>
      <c r="G126">
        <v>-14</v>
      </c>
      <c r="H126">
        <v>-7</v>
      </c>
      <c r="I126">
        <v>-1</v>
      </c>
      <c r="J126" t="s">
        <v>831</v>
      </c>
    </row>
    <row r="127" spans="1:10" x14ac:dyDescent="0.2">
      <c r="A127" t="s">
        <v>3038</v>
      </c>
      <c r="B127">
        <v>75</v>
      </c>
      <c r="C127">
        <v>38</v>
      </c>
      <c r="D127">
        <v>34</v>
      </c>
      <c r="E127">
        <v>98</v>
      </c>
      <c r="F127">
        <v>67</v>
      </c>
      <c r="G127">
        <v>-21</v>
      </c>
      <c r="H127">
        <v>-14</v>
      </c>
      <c r="I127">
        <v>-8</v>
      </c>
      <c r="J127" t="s">
        <v>831</v>
      </c>
    </row>
    <row r="128" spans="1:10" x14ac:dyDescent="0.2">
      <c r="A128" t="s">
        <v>3039</v>
      </c>
      <c r="B128">
        <v>23</v>
      </c>
      <c r="C128">
        <v>38</v>
      </c>
      <c r="D128">
        <v>33</v>
      </c>
      <c r="E128">
        <v>97</v>
      </c>
      <c r="F128">
        <v>69</v>
      </c>
      <c r="G128">
        <v>-9</v>
      </c>
      <c r="H128">
        <v>-2</v>
      </c>
      <c r="I128">
        <v>4</v>
      </c>
      <c r="J128" t="s">
        <v>831</v>
      </c>
    </row>
    <row r="129" spans="1:10" x14ac:dyDescent="0.2">
      <c r="A129" t="s">
        <v>3040</v>
      </c>
      <c r="B129">
        <v>85</v>
      </c>
      <c r="C129">
        <v>36</v>
      </c>
      <c r="D129">
        <v>35</v>
      </c>
      <c r="E129">
        <v>78</v>
      </c>
      <c r="F129">
        <v>62</v>
      </c>
      <c r="G129">
        <v>-14</v>
      </c>
      <c r="H129">
        <v>-7</v>
      </c>
      <c r="I129">
        <v>-1</v>
      </c>
      <c r="J129" t="s">
        <v>3747</v>
      </c>
    </row>
    <row r="130" spans="1:10" x14ac:dyDescent="0.2">
      <c r="A130" t="s">
        <v>1012</v>
      </c>
      <c r="B130">
        <v>1156</v>
      </c>
      <c r="C130">
        <v>34</v>
      </c>
      <c r="D130">
        <v>36</v>
      </c>
      <c r="E130">
        <v>101</v>
      </c>
      <c r="F130">
        <v>70</v>
      </c>
      <c r="G130">
        <v>-10</v>
      </c>
      <c r="H130">
        <v>-3</v>
      </c>
      <c r="I130">
        <v>3</v>
      </c>
      <c r="J130" t="s">
        <v>831</v>
      </c>
    </row>
    <row r="131" spans="1:10" x14ac:dyDescent="0.2">
      <c r="A131" t="s">
        <v>1013</v>
      </c>
      <c r="B131">
        <v>13</v>
      </c>
      <c r="C131">
        <v>32</v>
      </c>
      <c r="D131">
        <v>46</v>
      </c>
      <c r="E131">
        <v>81</v>
      </c>
      <c r="F131">
        <v>67</v>
      </c>
      <c r="G131">
        <v>6</v>
      </c>
      <c r="H131">
        <v>13</v>
      </c>
      <c r="I131">
        <v>19</v>
      </c>
      <c r="J131" t="s">
        <v>1527</v>
      </c>
    </row>
    <row r="132" spans="1:10" x14ac:dyDescent="0.2">
      <c r="A132" t="s">
        <v>1014</v>
      </c>
      <c r="B132">
        <v>477</v>
      </c>
      <c r="C132">
        <v>32</v>
      </c>
      <c r="D132">
        <v>42</v>
      </c>
      <c r="E132">
        <v>88</v>
      </c>
      <c r="F132">
        <v>67</v>
      </c>
      <c r="G132">
        <v>-5</v>
      </c>
      <c r="H132">
        <v>2</v>
      </c>
      <c r="I132">
        <v>8</v>
      </c>
      <c r="J132" t="s">
        <v>3747</v>
      </c>
    </row>
    <row r="133" spans="1:10" x14ac:dyDescent="0.2">
      <c r="A133" t="s">
        <v>1015</v>
      </c>
      <c r="B133">
        <v>977</v>
      </c>
      <c r="C133">
        <v>34</v>
      </c>
      <c r="D133">
        <v>39</v>
      </c>
      <c r="E133">
        <v>91</v>
      </c>
      <c r="F133">
        <v>68</v>
      </c>
      <c r="G133">
        <v>-4</v>
      </c>
      <c r="H133">
        <v>2</v>
      </c>
      <c r="I133">
        <v>9</v>
      </c>
      <c r="J133" t="s">
        <v>831</v>
      </c>
    </row>
    <row r="134" spans="1:10" x14ac:dyDescent="0.2">
      <c r="A134" t="s">
        <v>1016</v>
      </c>
      <c r="B134">
        <v>8</v>
      </c>
      <c r="C134">
        <v>37</v>
      </c>
      <c r="D134">
        <v>39</v>
      </c>
      <c r="E134">
        <v>78</v>
      </c>
      <c r="F134">
        <v>62</v>
      </c>
      <c r="G134">
        <v>-14</v>
      </c>
      <c r="H134">
        <v>-7</v>
      </c>
      <c r="I134">
        <v>-1</v>
      </c>
      <c r="J134" t="s">
        <v>3747</v>
      </c>
    </row>
    <row r="135" spans="1:10" x14ac:dyDescent="0.2">
      <c r="A135" t="s">
        <v>1017</v>
      </c>
      <c r="B135">
        <v>20</v>
      </c>
      <c r="C135">
        <v>37</v>
      </c>
      <c r="D135">
        <v>40</v>
      </c>
      <c r="E135">
        <v>71</v>
      </c>
      <c r="F135">
        <v>62</v>
      </c>
      <c r="G135">
        <v>-2</v>
      </c>
      <c r="H135">
        <v>5</v>
      </c>
      <c r="I135">
        <v>11</v>
      </c>
      <c r="J135" t="s">
        <v>1527</v>
      </c>
    </row>
    <row r="136" spans="1:10" x14ac:dyDescent="0.2">
      <c r="A136" t="s">
        <v>3094</v>
      </c>
      <c r="B136">
        <v>56</v>
      </c>
      <c r="C136">
        <v>37</v>
      </c>
      <c r="D136">
        <v>38</v>
      </c>
      <c r="E136">
        <v>89</v>
      </c>
      <c r="F136">
        <v>66</v>
      </c>
      <c r="G136">
        <v>-12</v>
      </c>
      <c r="H136">
        <v>-5</v>
      </c>
      <c r="I136">
        <v>1</v>
      </c>
      <c r="J136" t="s">
        <v>831</v>
      </c>
    </row>
    <row r="137" spans="1:10" x14ac:dyDescent="0.2">
      <c r="A137" t="s">
        <v>3095</v>
      </c>
      <c r="B137">
        <v>250</v>
      </c>
      <c r="C137">
        <v>35</v>
      </c>
      <c r="D137">
        <v>35</v>
      </c>
      <c r="E137">
        <v>88</v>
      </c>
      <c r="F137">
        <v>70</v>
      </c>
      <c r="G137">
        <v>11</v>
      </c>
      <c r="H137">
        <v>18</v>
      </c>
      <c r="I137">
        <v>24</v>
      </c>
      <c r="J137" t="s">
        <v>831</v>
      </c>
    </row>
    <row r="138" spans="1:10" x14ac:dyDescent="0.2">
      <c r="A138" t="s">
        <v>3096</v>
      </c>
      <c r="B138">
        <v>54</v>
      </c>
      <c r="C138">
        <v>33</v>
      </c>
      <c r="D138">
        <v>39</v>
      </c>
      <c r="E138">
        <v>85</v>
      </c>
      <c r="F138">
        <v>68</v>
      </c>
      <c r="G138">
        <v>5</v>
      </c>
      <c r="H138">
        <v>12</v>
      </c>
      <c r="I138">
        <v>18</v>
      </c>
      <c r="J138" t="s">
        <v>831</v>
      </c>
    </row>
    <row r="139" spans="1:10" x14ac:dyDescent="0.2">
      <c r="A139" t="s">
        <v>3097</v>
      </c>
      <c r="B139">
        <v>10</v>
      </c>
      <c r="C139">
        <v>34</v>
      </c>
      <c r="D139">
        <v>37</v>
      </c>
      <c r="E139">
        <v>80</v>
      </c>
      <c r="F139">
        <v>64</v>
      </c>
      <c r="G139">
        <v>-8</v>
      </c>
      <c r="H139">
        <v>1</v>
      </c>
      <c r="I139">
        <v>5</v>
      </c>
      <c r="J139" t="s">
        <v>3747</v>
      </c>
    </row>
    <row r="140" spans="1:10" x14ac:dyDescent="0.2">
      <c r="A140" t="s">
        <v>3098</v>
      </c>
      <c r="B140">
        <v>125</v>
      </c>
      <c r="C140">
        <v>37</v>
      </c>
      <c r="D140">
        <v>38</v>
      </c>
      <c r="E140">
        <v>71</v>
      </c>
      <c r="F140">
        <v>61</v>
      </c>
      <c r="G140">
        <v>-7</v>
      </c>
      <c r="H140">
        <v>2</v>
      </c>
      <c r="I140">
        <v>6</v>
      </c>
      <c r="J140" t="s">
        <v>831</v>
      </c>
    </row>
    <row r="141" spans="1:10" x14ac:dyDescent="0.2">
      <c r="A141" t="s">
        <v>3099</v>
      </c>
      <c r="B141">
        <v>240</v>
      </c>
      <c r="C141">
        <v>34</v>
      </c>
      <c r="D141">
        <v>35</v>
      </c>
      <c r="E141">
        <v>82</v>
      </c>
      <c r="F141">
        <v>62</v>
      </c>
      <c r="G141">
        <v>-20</v>
      </c>
      <c r="H141">
        <v>-13</v>
      </c>
      <c r="I141">
        <v>-7</v>
      </c>
      <c r="J141" t="s">
        <v>3747</v>
      </c>
    </row>
    <row r="142" spans="1:10" x14ac:dyDescent="0.2">
      <c r="A142" t="s">
        <v>458</v>
      </c>
      <c r="B142">
        <v>236</v>
      </c>
      <c r="C142">
        <v>34</v>
      </c>
      <c r="D142">
        <v>43</v>
      </c>
      <c r="E142">
        <v>80</v>
      </c>
      <c r="F142">
        <v>68</v>
      </c>
      <c r="G142">
        <v>13</v>
      </c>
      <c r="H142">
        <v>20</v>
      </c>
      <c r="I142">
        <v>26</v>
      </c>
      <c r="J142" t="s">
        <v>3747</v>
      </c>
    </row>
    <row r="143" spans="1:10" x14ac:dyDescent="0.2">
      <c r="A143" t="s">
        <v>459</v>
      </c>
      <c r="B143">
        <v>245</v>
      </c>
      <c r="C143">
        <v>34</v>
      </c>
      <c r="D143">
        <v>35</v>
      </c>
      <c r="E143">
        <v>86</v>
      </c>
      <c r="F143">
        <v>67</v>
      </c>
      <c r="G143">
        <v>-2</v>
      </c>
      <c r="H143">
        <v>5</v>
      </c>
      <c r="I143">
        <v>11</v>
      </c>
      <c r="J143" t="s">
        <v>831</v>
      </c>
    </row>
    <row r="144" spans="1:10" x14ac:dyDescent="0.2">
      <c r="A144" t="s">
        <v>2168</v>
      </c>
      <c r="B144">
        <v>125</v>
      </c>
      <c r="C144">
        <v>38</v>
      </c>
      <c r="D144">
        <v>29</v>
      </c>
      <c r="E144">
        <v>95</v>
      </c>
      <c r="F144">
        <v>67</v>
      </c>
      <c r="G144">
        <v>-16</v>
      </c>
      <c r="H144">
        <v>-9</v>
      </c>
      <c r="I144">
        <v>-3</v>
      </c>
      <c r="J144" t="s">
        <v>831</v>
      </c>
    </row>
    <row r="145" spans="1:10" x14ac:dyDescent="0.2">
      <c r="A145" t="s">
        <v>2169</v>
      </c>
      <c r="B145">
        <v>22</v>
      </c>
      <c r="C145">
        <v>37</v>
      </c>
      <c r="D145">
        <v>32</v>
      </c>
      <c r="E145">
        <v>97</v>
      </c>
      <c r="F145">
        <v>68</v>
      </c>
      <c r="G145">
        <v>-14</v>
      </c>
      <c r="H145">
        <v>-7</v>
      </c>
      <c r="I145">
        <v>-1</v>
      </c>
      <c r="J145" t="s">
        <v>831</v>
      </c>
    </row>
    <row r="146" spans="1:10" x14ac:dyDescent="0.2">
      <c r="A146" t="s">
        <v>2170</v>
      </c>
      <c r="B146">
        <v>614</v>
      </c>
      <c r="C146">
        <v>39</v>
      </c>
      <c r="D146">
        <v>29</v>
      </c>
      <c r="E146">
        <v>95</v>
      </c>
      <c r="F146">
        <v>68</v>
      </c>
      <c r="G146">
        <v>-11</v>
      </c>
      <c r="H146">
        <v>-4</v>
      </c>
      <c r="I146">
        <v>2</v>
      </c>
      <c r="J146" t="s">
        <v>831</v>
      </c>
    </row>
    <row r="147" spans="1:10" x14ac:dyDescent="0.2">
      <c r="A147" t="s">
        <v>2171</v>
      </c>
      <c r="B147">
        <v>2875</v>
      </c>
      <c r="C147">
        <v>34</v>
      </c>
      <c r="D147">
        <v>30</v>
      </c>
      <c r="E147">
        <v>98</v>
      </c>
      <c r="F147">
        <v>65</v>
      </c>
      <c r="G147">
        <v>-31</v>
      </c>
      <c r="H147">
        <v>-24</v>
      </c>
      <c r="I147">
        <v>-18</v>
      </c>
      <c r="J147" t="s">
        <v>831</v>
      </c>
    </row>
    <row r="148" spans="1:10" x14ac:dyDescent="0.2">
      <c r="A148" t="s">
        <v>2172</v>
      </c>
      <c r="B148">
        <v>292</v>
      </c>
      <c r="C148">
        <v>36</v>
      </c>
      <c r="D148">
        <v>30</v>
      </c>
      <c r="E148">
        <v>100</v>
      </c>
      <c r="F148">
        <v>69</v>
      </c>
      <c r="G148">
        <v>-14</v>
      </c>
      <c r="H148">
        <v>-7</v>
      </c>
      <c r="I148">
        <v>-1</v>
      </c>
      <c r="J148" t="s">
        <v>831</v>
      </c>
    </row>
    <row r="149" spans="1:10" x14ac:dyDescent="0.2">
      <c r="A149" t="s">
        <v>2173</v>
      </c>
      <c r="B149">
        <v>2625</v>
      </c>
      <c r="C149">
        <v>41</v>
      </c>
      <c r="D149">
        <v>17</v>
      </c>
      <c r="E149">
        <v>92</v>
      </c>
      <c r="F149">
        <v>64</v>
      </c>
      <c r="G149">
        <v>-25</v>
      </c>
      <c r="H149">
        <v>-18</v>
      </c>
      <c r="I149">
        <v>-11</v>
      </c>
      <c r="J149" t="s">
        <v>831</v>
      </c>
    </row>
    <row r="150" spans="1:10" x14ac:dyDescent="0.2">
      <c r="A150" t="s">
        <v>2174</v>
      </c>
      <c r="B150">
        <v>58</v>
      </c>
      <c r="C150">
        <v>39</v>
      </c>
      <c r="D150">
        <v>31</v>
      </c>
      <c r="E150">
        <v>101</v>
      </c>
      <c r="F150">
        <v>67</v>
      </c>
      <c r="G150">
        <v>-26</v>
      </c>
      <c r="H150">
        <v>-19</v>
      </c>
      <c r="I150">
        <v>-13</v>
      </c>
      <c r="J150" t="s">
        <v>831</v>
      </c>
    </row>
    <row r="151" spans="1:10" x14ac:dyDescent="0.2">
      <c r="A151" t="s">
        <v>2175</v>
      </c>
      <c r="B151">
        <v>7543</v>
      </c>
      <c r="C151">
        <v>37</v>
      </c>
      <c r="D151">
        <v>-11</v>
      </c>
      <c r="E151">
        <v>82</v>
      </c>
      <c r="F151">
        <v>55</v>
      </c>
      <c r="G151">
        <v>-53</v>
      </c>
      <c r="H151">
        <v>-46</v>
      </c>
      <c r="I151">
        <v>-40</v>
      </c>
      <c r="J151" t="s">
        <v>831</v>
      </c>
    </row>
    <row r="152" spans="1:10" x14ac:dyDescent="0.2">
      <c r="A152" t="s">
        <v>2176</v>
      </c>
      <c r="B152">
        <v>5385</v>
      </c>
      <c r="C152">
        <v>40</v>
      </c>
      <c r="D152">
        <v>0</v>
      </c>
      <c r="E152">
        <v>91</v>
      </c>
      <c r="F152">
        <v>59</v>
      </c>
      <c r="G152">
        <v>-47</v>
      </c>
      <c r="H152">
        <v>-40</v>
      </c>
      <c r="I152">
        <v>-34</v>
      </c>
      <c r="J152" t="s">
        <v>831</v>
      </c>
    </row>
    <row r="153" spans="1:10" x14ac:dyDescent="0.2">
      <c r="A153" t="s">
        <v>3207</v>
      </c>
      <c r="B153">
        <v>6171</v>
      </c>
      <c r="C153">
        <v>38</v>
      </c>
      <c r="D153">
        <v>4</v>
      </c>
      <c r="E153">
        <v>87</v>
      </c>
      <c r="F153">
        <v>58</v>
      </c>
      <c r="G153">
        <v>-46</v>
      </c>
      <c r="H153">
        <v>-39</v>
      </c>
      <c r="I153">
        <v>-33</v>
      </c>
      <c r="J153" t="s">
        <v>831</v>
      </c>
    </row>
    <row r="154" spans="1:10" x14ac:dyDescent="0.2">
      <c r="A154" t="s">
        <v>3208</v>
      </c>
      <c r="B154">
        <v>6283</v>
      </c>
      <c r="C154">
        <v>40</v>
      </c>
      <c r="D154">
        <v>-12</v>
      </c>
      <c r="E154">
        <v>85</v>
      </c>
      <c r="F154">
        <v>56</v>
      </c>
      <c r="G154">
        <v>-52</v>
      </c>
      <c r="H154">
        <v>-45</v>
      </c>
      <c r="I154">
        <v>-39</v>
      </c>
      <c r="J154" t="s">
        <v>831</v>
      </c>
    </row>
    <row r="155" spans="1:10" x14ac:dyDescent="0.2">
      <c r="A155" t="s">
        <v>3209</v>
      </c>
      <c r="B155">
        <v>5283</v>
      </c>
      <c r="C155">
        <v>39</v>
      </c>
      <c r="D155">
        <v>-3</v>
      </c>
      <c r="E155">
        <v>90</v>
      </c>
      <c r="F155">
        <v>59</v>
      </c>
      <c r="G155">
        <v>-46</v>
      </c>
      <c r="H155">
        <v>-39</v>
      </c>
      <c r="I155">
        <v>-33</v>
      </c>
      <c r="J155" t="s">
        <v>831</v>
      </c>
    </row>
    <row r="156" spans="1:10" x14ac:dyDescent="0.2">
      <c r="A156" t="s">
        <v>3210</v>
      </c>
      <c r="B156">
        <v>6684</v>
      </c>
      <c r="C156">
        <v>37</v>
      </c>
      <c r="D156">
        <v>-1</v>
      </c>
      <c r="E156">
        <v>87</v>
      </c>
      <c r="F156">
        <v>59</v>
      </c>
      <c r="G156">
        <v>-41</v>
      </c>
      <c r="H156">
        <v>-34</v>
      </c>
      <c r="I156">
        <v>-28</v>
      </c>
      <c r="J156" t="s">
        <v>831</v>
      </c>
    </row>
    <row r="157" spans="1:10" x14ac:dyDescent="0.2">
      <c r="A157" t="s">
        <v>3211</v>
      </c>
      <c r="B157">
        <v>6539</v>
      </c>
      <c r="C157">
        <v>39</v>
      </c>
      <c r="D157">
        <v>-7</v>
      </c>
      <c r="E157">
        <v>86</v>
      </c>
      <c r="F157">
        <v>57</v>
      </c>
      <c r="G157">
        <v>-49</v>
      </c>
      <c r="H157">
        <v>-42</v>
      </c>
      <c r="I157">
        <v>-36</v>
      </c>
      <c r="J157" t="s">
        <v>831</v>
      </c>
    </row>
    <row r="158" spans="1:10" x14ac:dyDescent="0.2">
      <c r="A158" t="s">
        <v>3212</v>
      </c>
      <c r="B158">
        <v>4935</v>
      </c>
      <c r="C158">
        <v>40</v>
      </c>
      <c r="D158">
        <v>1</v>
      </c>
      <c r="E158">
        <v>91</v>
      </c>
      <c r="F158">
        <v>59</v>
      </c>
      <c r="G158">
        <v>-48</v>
      </c>
      <c r="H158">
        <v>-41</v>
      </c>
      <c r="I158">
        <v>-35</v>
      </c>
      <c r="J158" t="s">
        <v>831</v>
      </c>
    </row>
    <row r="159" spans="1:10" x14ac:dyDescent="0.2">
      <c r="A159" t="s">
        <v>3213</v>
      </c>
      <c r="B159">
        <v>4843</v>
      </c>
      <c r="C159">
        <v>39</v>
      </c>
      <c r="D159">
        <v>7</v>
      </c>
      <c r="E159">
        <v>94</v>
      </c>
      <c r="F159">
        <v>60</v>
      </c>
      <c r="G159">
        <v>-47</v>
      </c>
      <c r="H159">
        <v>-40</v>
      </c>
      <c r="I159">
        <v>-34</v>
      </c>
      <c r="J159" t="s">
        <v>831</v>
      </c>
    </row>
    <row r="160" spans="1:10" x14ac:dyDescent="0.2">
      <c r="A160" t="s">
        <v>3214</v>
      </c>
      <c r="B160">
        <v>4820</v>
      </c>
      <c r="C160">
        <v>40</v>
      </c>
      <c r="D160">
        <v>4</v>
      </c>
      <c r="E160">
        <v>94</v>
      </c>
      <c r="F160">
        <v>60</v>
      </c>
      <c r="G160">
        <v>-47</v>
      </c>
      <c r="H160">
        <v>-40</v>
      </c>
      <c r="I160">
        <v>-34</v>
      </c>
      <c r="J160" t="s">
        <v>831</v>
      </c>
    </row>
    <row r="161" spans="1:10" x14ac:dyDescent="0.2">
      <c r="A161" t="s">
        <v>3215</v>
      </c>
      <c r="B161">
        <v>4238</v>
      </c>
      <c r="C161">
        <v>38</v>
      </c>
      <c r="D161">
        <v>3</v>
      </c>
      <c r="E161">
        <v>98</v>
      </c>
      <c r="F161">
        <v>68</v>
      </c>
      <c r="G161">
        <v>-11</v>
      </c>
      <c r="H161">
        <v>-4</v>
      </c>
      <c r="I161">
        <v>2</v>
      </c>
      <c r="J161" t="s">
        <v>831</v>
      </c>
    </row>
    <row r="162" spans="1:10" x14ac:dyDescent="0.2">
      <c r="A162" t="s">
        <v>3216</v>
      </c>
      <c r="B162">
        <v>9927</v>
      </c>
      <c r="C162">
        <v>39</v>
      </c>
      <c r="D162">
        <v>-14</v>
      </c>
      <c r="E162">
        <v>81</v>
      </c>
      <c r="F162">
        <v>51</v>
      </c>
      <c r="G162">
        <v>-71</v>
      </c>
      <c r="H162">
        <v>-64</v>
      </c>
      <c r="I162">
        <v>-58</v>
      </c>
      <c r="J162" t="s">
        <v>831</v>
      </c>
    </row>
    <row r="163" spans="1:10" x14ac:dyDescent="0.2">
      <c r="A163" t="s">
        <v>3217</v>
      </c>
      <c r="B163">
        <v>5364</v>
      </c>
      <c r="C163">
        <v>39</v>
      </c>
      <c r="D163">
        <v>1</v>
      </c>
      <c r="E163">
        <v>88</v>
      </c>
      <c r="F163">
        <v>60</v>
      </c>
      <c r="G163">
        <v>-37</v>
      </c>
      <c r="H163">
        <v>-30</v>
      </c>
      <c r="I163">
        <v>-24</v>
      </c>
      <c r="J163" t="s">
        <v>831</v>
      </c>
    </row>
    <row r="164" spans="1:10" x14ac:dyDescent="0.2">
      <c r="A164" t="s">
        <v>3218</v>
      </c>
      <c r="B164">
        <v>4684</v>
      </c>
      <c r="C164">
        <v>38</v>
      </c>
      <c r="D164">
        <v>5</v>
      </c>
      <c r="E164">
        <v>94</v>
      </c>
      <c r="F164">
        <v>62</v>
      </c>
      <c r="G164">
        <v>-37</v>
      </c>
      <c r="H164">
        <v>-30</v>
      </c>
      <c r="I164">
        <v>-24</v>
      </c>
      <c r="J164" t="s">
        <v>831</v>
      </c>
    </row>
    <row r="165" spans="1:10" x14ac:dyDescent="0.2">
      <c r="A165" t="s">
        <v>3219</v>
      </c>
      <c r="B165">
        <v>4038</v>
      </c>
      <c r="C165">
        <v>40</v>
      </c>
      <c r="D165">
        <v>-2</v>
      </c>
      <c r="E165">
        <v>93</v>
      </c>
      <c r="F165">
        <v>62</v>
      </c>
      <c r="G165">
        <v>-36</v>
      </c>
      <c r="H165">
        <v>-29</v>
      </c>
      <c r="I165">
        <v>-23</v>
      </c>
      <c r="J165" t="s">
        <v>831</v>
      </c>
    </row>
    <row r="166" spans="1:10" x14ac:dyDescent="0.2">
      <c r="A166" t="s">
        <v>3220</v>
      </c>
      <c r="B166">
        <v>5761</v>
      </c>
      <c r="C166">
        <v>37</v>
      </c>
      <c r="D166">
        <v>6</v>
      </c>
      <c r="E166">
        <v>90</v>
      </c>
      <c r="F166">
        <v>60</v>
      </c>
      <c r="G166">
        <v>-40</v>
      </c>
      <c r="H166">
        <v>-33</v>
      </c>
      <c r="I166">
        <v>-27</v>
      </c>
      <c r="J166" t="s">
        <v>831</v>
      </c>
    </row>
    <row r="167" spans="1:10" x14ac:dyDescent="0.2">
      <c r="A167" t="s">
        <v>3221</v>
      </c>
      <c r="B167">
        <v>10</v>
      </c>
      <c r="C167">
        <v>41</v>
      </c>
      <c r="D167">
        <v>12</v>
      </c>
      <c r="E167">
        <v>84</v>
      </c>
      <c r="F167">
        <v>72</v>
      </c>
      <c r="G167">
        <v>29</v>
      </c>
      <c r="H167">
        <v>36</v>
      </c>
      <c r="I167">
        <v>42</v>
      </c>
      <c r="J167" t="s">
        <v>3747</v>
      </c>
    </row>
    <row r="168" spans="1:10" x14ac:dyDescent="0.2">
      <c r="A168" t="s">
        <v>3222</v>
      </c>
      <c r="B168">
        <v>19</v>
      </c>
      <c r="C168">
        <v>41</v>
      </c>
      <c r="D168">
        <v>6</v>
      </c>
      <c r="E168">
        <v>88</v>
      </c>
      <c r="F168">
        <v>72</v>
      </c>
      <c r="G168">
        <v>23</v>
      </c>
      <c r="H168">
        <v>30</v>
      </c>
      <c r="I168">
        <v>36</v>
      </c>
      <c r="J168" t="s">
        <v>3747</v>
      </c>
    </row>
    <row r="169" spans="1:10" x14ac:dyDescent="0.2">
      <c r="A169" t="s">
        <v>3223</v>
      </c>
      <c r="B169">
        <v>14</v>
      </c>
      <c r="C169">
        <v>41</v>
      </c>
      <c r="D169">
        <v>7</v>
      </c>
      <c r="E169">
        <v>84</v>
      </c>
      <c r="F169">
        <v>73</v>
      </c>
      <c r="G169">
        <v>35</v>
      </c>
      <c r="H169">
        <v>42</v>
      </c>
      <c r="I169">
        <v>48</v>
      </c>
      <c r="J169" t="s">
        <v>3747</v>
      </c>
    </row>
    <row r="170" spans="1:10" x14ac:dyDescent="0.2">
      <c r="A170" t="s">
        <v>3224</v>
      </c>
      <c r="B170">
        <v>10</v>
      </c>
      <c r="C170">
        <v>41</v>
      </c>
      <c r="D170">
        <v>9</v>
      </c>
      <c r="E170">
        <v>85</v>
      </c>
      <c r="F170">
        <v>72</v>
      </c>
      <c r="G170">
        <v>26</v>
      </c>
      <c r="H170">
        <v>32</v>
      </c>
      <c r="I170">
        <v>39</v>
      </c>
      <c r="J170" t="s">
        <v>3747</v>
      </c>
    </row>
    <row r="171" spans="1:10" x14ac:dyDescent="0.2">
      <c r="A171" t="s">
        <v>3225</v>
      </c>
      <c r="B171">
        <v>397</v>
      </c>
      <c r="C171">
        <v>41</v>
      </c>
      <c r="D171">
        <v>9</v>
      </c>
      <c r="E171">
        <v>84</v>
      </c>
      <c r="F171">
        <v>71</v>
      </c>
      <c r="G171">
        <v>22</v>
      </c>
      <c r="H171">
        <v>29</v>
      </c>
      <c r="I171">
        <v>36</v>
      </c>
      <c r="J171" t="s">
        <v>3747</v>
      </c>
    </row>
    <row r="172" spans="1:10" x14ac:dyDescent="0.2">
      <c r="A172" t="s">
        <v>3226</v>
      </c>
      <c r="B172">
        <v>197</v>
      </c>
      <c r="C172">
        <v>41</v>
      </c>
      <c r="D172">
        <v>7</v>
      </c>
      <c r="E172">
        <v>86</v>
      </c>
      <c r="F172">
        <v>73</v>
      </c>
      <c r="G172">
        <v>30</v>
      </c>
      <c r="H172">
        <v>37</v>
      </c>
      <c r="I172">
        <v>44</v>
      </c>
      <c r="J172" t="s">
        <v>3747</v>
      </c>
    </row>
    <row r="173" spans="1:10" x14ac:dyDescent="0.2">
      <c r="A173" t="s">
        <v>3227</v>
      </c>
      <c r="B173">
        <v>850</v>
      </c>
      <c r="C173">
        <v>41</v>
      </c>
      <c r="D173">
        <v>2</v>
      </c>
      <c r="E173">
        <v>85</v>
      </c>
      <c r="F173">
        <v>71</v>
      </c>
      <c r="G173">
        <v>22</v>
      </c>
      <c r="H173">
        <v>29</v>
      </c>
      <c r="I173">
        <v>35</v>
      </c>
      <c r="J173" t="s">
        <v>3747</v>
      </c>
    </row>
    <row r="174" spans="1:10" x14ac:dyDescent="0.2">
      <c r="A174" t="s">
        <v>3228</v>
      </c>
      <c r="B174">
        <v>197</v>
      </c>
      <c r="C174">
        <v>42</v>
      </c>
      <c r="D174">
        <v>8</v>
      </c>
      <c r="E174">
        <v>88</v>
      </c>
      <c r="F174">
        <v>71</v>
      </c>
      <c r="G174">
        <v>16</v>
      </c>
      <c r="H174">
        <v>22</v>
      </c>
      <c r="I174">
        <v>29</v>
      </c>
      <c r="J174" t="s">
        <v>3747</v>
      </c>
    </row>
    <row r="175" spans="1:10" x14ac:dyDescent="0.2">
      <c r="A175" t="s">
        <v>3229</v>
      </c>
      <c r="B175">
        <v>28</v>
      </c>
      <c r="C175">
        <v>39</v>
      </c>
      <c r="D175">
        <v>18</v>
      </c>
      <c r="E175">
        <v>89</v>
      </c>
      <c r="F175">
        <v>75</v>
      </c>
      <c r="G175">
        <v>39</v>
      </c>
      <c r="H175">
        <v>46</v>
      </c>
      <c r="I175">
        <v>52</v>
      </c>
      <c r="J175" t="s">
        <v>3747</v>
      </c>
    </row>
    <row r="176" spans="1:10" x14ac:dyDescent="0.2">
      <c r="A176" t="s">
        <v>3230</v>
      </c>
      <c r="B176">
        <v>78</v>
      </c>
      <c r="C176">
        <v>39</v>
      </c>
      <c r="D176">
        <v>14</v>
      </c>
      <c r="E176">
        <v>89</v>
      </c>
      <c r="F176">
        <v>74</v>
      </c>
      <c r="G176">
        <v>33</v>
      </c>
      <c r="H176">
        <v>40</v>
      </c>
      <c r="I176">
        <v>46</v>
      </c>
      <c r="J176" t="s">
        <v>3747</v>
      </c>
    </row>
    <row r="177" spans="1:10" x14ac:dyDescent="0.2">
      <c r="A177" t="s">
        <v>3231</v>
      </c>
      <c r="B177">
        <v>283</v>
      </c>
      <c r="C177">
        <v>38</v>
      </c>
      <c r="D177">
        <v>18</v>
      </c>
      <c r="E177">
        <v>91</v>
      </c>
      <c r="F177">
        <v>74</v>
      </c>
      <c r="G177">
        <v>30</v>
      </c>
      <c r="H177">
        <v>37</v>
      </c>
      <c r="I177">
        <v>43</v>
      </c>
      <c r="J177" t="s">
        <v>3747</v>
      </c>
    </row>
    <row r="178" spans="1:10" x14ac:dyDescent="0.2">
      <c r="A178" t="s">
        <v>3232</v>
      </c>
      <c r="B178">
        <v>66</v>
      </c>
      <c r="C178">
        <v>38</v>
      </c>
      <c r="D178">
        <v>20</v>
      </c>
      <c r="E178">
        <v>92</v>
      </c>
      <c r="F178">
        <v>76</v>
      </c>
      <c r="G178">
        <v>41</v>
      </c>
      <c r="H178">
        <v>48</v>
      </c>
      <c r="I178">
        <v>54</v>
      </c>
      <c r="J178" t="s">
        <v>3747</v>
      </c>
    </row>
    <row r="179" spans="1:10" x14ac:dyDescent="0.2">
      <c r="A179" t="s">
        <v>3233</v>
      </c>
      <c r="B179">
        <v>20</v>
      </c>
      <c r="C179">
        <v>29</v>
      </c>
      <c r="D179">
        <v>35</v>
      </c>
      <c r="E179">
        <v>90</v>
      </c>
      <c r="F179">
        <v>78</v>
      </c>
      <c r="G179">
        <v>57</v>
      </c>
      <c r="H179">
        <v>64</v>
      </c>
      <c r="I179">
        <v>70</v>
      </c>
      <c r="J179" t="s">
        <v>3747</v>
      </c>
    </row>
    <row r="180" spans="1:10" x14ac:dyDescent="0.2">
      <c r="A180" t="s">
        <v>3234</v>
      </c>
      <c r="B180">
        <v>17</v>
      </c>
      <c r="C180">
        <v>26</v>
      </c>
      <c r="D180">
        <v>44</v>
      </c>
      <c r="E180">
        <v>91</v>
      </c>
      <c r="F180">
        <v>76</v>
      </c>
      <c r="G180">
        <v>42</v>
      </c>
      <c r="H180">
        <v>49</v>
      </c>
      <c r="I180">
        <v>55</v>
      </c>
      <c r="J180" t="s">
        <v>3747</v>
      </c>
    </row>
    <row r="181" spans="1:10" x14ac:dyDescent="0.2">
      <c r="A181" t="s">
        <v>3235</v>
      </c>
      <c r="B181">
        <v>10</v>
      </c>
      <c r="C181">
        <v>28</v>
      </c>
      <c r="D181">
        <v>42</v>
      </c>
      <c r="E181">
        <v>90</v>
      </c>
      <c r="F181">
        <v>78</v>
      </c>
      <c r="G181">
        <v>57</v>
      </c>
      <c r="H181">
        <v>64</v>
      </c>
      <c r="I181">
        <v>70</v>
      </c>
      <c r="J181" t="s">
        <v>1527</v>
      </c>
    </row>
    <row r="182" spans="1:10" x14ac:dyDescent="0.2">
      <c r="A182" t="s">
        <v>3236</v>
      </c>
      <c r="B182">
        <v>31</v>
      </c>
      <c r="C182">
        <v>29</v>
      </c>
      <c r="D182">
        <v>37</v>
      </c>
      <c r="E182">
        <v>90</v>
      </c>
      <c r="F182">
        <v>77</v>
      </c>
      <c r="G182">
        <v>51</v>
      </c>
      <c r="H182">
        <v>58</v>
      </c>
      <c r="I182">
        <v>64</v>
      </c>
      <c r="J182" t="s">
        <v>1527</v>
      </c>
    </row>
    <row r="183" spans="1:10" x14ac:dyDescent="0.2">
      <c r="A183" t="s">
        <v>3237</v>
      </c>
      <c r="B183">
        <v>10</v>
      </c>
      <c r="C183">
        <v>26</v>
      </c>
      <c r="D183">
        <v>50</v>
      </c>
      <c r="E183">
        <v>90</v>
      </c>
      <c r="F183">
        <v>78</v>
      </c>
      <c r="G183">
        <v>57</v>
      </c>
      <c r="H183">
        <v>64</v>
      </c>
      <c r="I183">
        <v>70</v>
      </c>
      <c r="J183" t="s">
        <v>1527</v>
      </c>
    </row>
    <row r="184" spans="1:10" x14ac:dyDescent="0.2">
      <c r="A184" t="s">
        <v>3238</v>
      </c>
      <c r="B184">
        <v>15</v>
      </c>
      <c r="C184">
        <v>26</v>
      </c>
      <c r="D184">
        <v>47</v>
      </c>
      <c r="E184">
        <v>93</v>
      </c>
      <c r="F184">
        <v>77</v>
      </c>
      <c r="G184">
        <v>46</v>
      </c>
      <c r="H184">
        <v>53</v>
      </c>
      <c r="I184">
        <v>59</v>
      </c>
      <c r="J184" t="s">
        <v>3747</v>
      </c>
    </row>
    <row r="185" spans="1:10" x14ac:dyDescent="0.2">
      <c r="A185" t="s">
        <v>3239</v>
      </c>
      <c r="B185">
        <v>25</v>
      </c>
      <c r="C185">
        <v>27</v>
      </c>
      <c r="D185">
        <v>42</v>
      </c>
      <c r="E185">
        <v>90</v>
      </c>
      <c r="F185">
        <v>78</v>
      </c>
      <c r="G185">
        <v>57</v>
      </c>
      <c r="H185">
        <v>64</v>
      </c>
      <c r="I185">
        <v>70</v>
      </c>
      <c r="J185" t="s">
        <v>3747</v>
      </c>
    </row>
    <row r="186" spans="1:10" x14ac:dyDescent="0.2">
      <c r="A186" t="s">
        <v>3240</v>
      </c>
      <c r="B186">
        <v>152</v>
      </c>
      <c r="C186">
        <v>29</v>
      </c>
      <c r="D186">
        <v>33</v>
      </c>
      <c r="E186">
        <v>92</v>
      </c>
      <c r="F186">
        <v>77</v>
      </c>
      <c r="G186">
        <v>47</v>
      </c>
      <c r="H186">
        <v>54</v>
      </c>
      <c r="I186">
        <v>60</v>
      </c>
      <c r="J186" t="s">
        <v>3747</v>
      </c>
    </row>
    <row r="187" spans="1:10" x14ac:dyDescent="0.2">
      <c r="A187" t="s">
        <v>3241</v>
      </c>
      <c r="B187">
        <v>7</v>
      </c>
      <c r="C187">
        <v>25</v>
      </c>
      <c r="D187">
        <v>52</v>
      </c>
      <c r="E187">
        <v>90</v>
      </c>
      <c r="F187">
        <v>78</v>
      </c>
      <c r="G187">
        <v>57</v>
      </c>
      <c r="H187">
        <v>64</v>
      </c>
      <c r="I187">
        <v>70</v>
      </c>
      <c r="J187" t="s">
        <v>1527</v>
      </c>
    </row>
    <row r="188" spans="1:10" x14ac:dyDescent="0.2">
      <c r="A188" t="s">
        <v>3242</v>
      </c>
      <c r="B188">
        <v>26</v>
      </c>
      <c r="C188">
        <v>30</v>
      </c>
      <c r="D188">
        <v>32</v>
      </c>
      <c r="E188">
        <v>93</v>
      </c>
      <c r="F188">
        <v>77</v>
      </c>
      <c r="G188">
        <v>46</v>
      </c>
      <c r="H188">
        <v>53</v>
      </c>
      <c r="I188">
        <v>59</v>
      </c>
      <c r="J188" t="s">
        <v>3747</v>
      </c>
    </row>
    <row r="189" spans="1:10" x14ac:dyDescent="0.2">
      <c r="A189" t="s">
        <v>2212</v>
      </c>
      <c r="B189">
        <v>80</v>
      </c>
      <c r="C189">
        <v>30</v>
      </c>
      <c r="D189">
        <v>34</v>
      </c>
      <c r="E189">
        <v>95</v>
      </c>
      <c r="F189">
        <v>76</v>
      </c>
      <c r="G189">
        <v>36</v>
      </c>
      <c r="H189">
        <v>43</v>
      </c>
      <c r="I189">
        <v>49</v>
      </c>
      <c r="J189" t="s">
        <v>3747</v>
      </c>
    </row>
    <row r="190" spans="1:10" x14ac:dyDescent="0.2">
      <c r="A190" t="s">
        <v>2213</v>
      </c>
      <c r="B190">
        <v>16</v>
      </c>
      <c r="C190">
        <v>30</v>
      </c>
      <c r="D190">
        <v>39</v>
      </c>
      <c r="E190">
        <v>92</v>
      </c>
      <c r="F190">
        <v>78</v>
      </c>
      <c r="G190">
        <v>54</v>
      </c>
      <c r="H190">
        <v>61</v>
      </c>
      <c r="I190">
        <v>67</v>
      </c>
      <c r="J190" t="s">
        <v>3747</v>
      </c>
    </row>
    <row r="191" spans="1:10" x14ac:dyDescent="0.2">
      <c r="A191" t="s">
        <v>2214</v>
      </c>
      <c r="B191">
        <v>4</v>
      </c>
      <c r="C191">
        <v>24</v>
      </c>
      <c r="D191">
        <v>58</v>
      </c>
      <c r="E191">
        <v>89</v>
      </c>
      <c r="F191">
        <v>79</v>
      </c>
      <c r="G191">
        <v>66</v>
      </c>
      <c r="H191">
        <v>73</v>
      </c>
      <c r="I191">
        <v>79</v>
      </c>
      <c r="J191" t="s">
        <v>1527</v>
      </c>
    </row>
    <row r="192" spans="1:10" x14ac:dyDescent="0.2">
      <c r="A192" t="s">
        <v>2215</v>
      </c>
      <c r="B192">
        <v>214</v>
      </c>
      <c r="C192">
        <v>28</v>
      </c>
      <c r="D192">
        <v>41</v>
      </c>
      <c r="E192">
        <v>91</v>
      </c>
      <c r="F192">
        <v>76</v>
      </c>
      <c r="G192">
        <v>42</v>
      </c>
      <c r="H192">
        <v>49</v>
      </c>
      <c r="I192">
        <v>55</v>
      </c>
      <c r="J192" t="s">
        <v>3747</v>
      </c>
    </row>
    <row r="193" spans="1:10" x14ac:dyDescent="0.2">
      <c r="A193" t="s">
        <v>2216</v>
      </c>
      <c r="B193">
        <v>15</v>
      </c>
      <c r="C193">
        <v>28</v>
      </c>
      <c r="D193">
        <v>43</v>
      </c>
      <c r="E193">
        <v>91</v>
      </c>
      <c r="F193">
        <v>79</v>
      </c>
      <c r="G193">
        <v>62</v>
      </c>
      <c r="H193">
        <v>69</v>
      </c>
      <c r="I193">
        <v>75</v>
      </c>
      <c r="J193" t="s">
        <v>3747</v>
      </c>
    </row>
    <row r="194" spans="1:10" x14ac:dyDescent="0.2">
      <c r="A194" t="s">
        <v>2217</v>
      </c>
      <c r="B194">
        <v>11</v>
      </c>
      <c r="C194">
        <v>25</v>
      </c>
      <c r="D194">
        <v>50</v>
      </c>
      <c r="E194">
        <v>90</v>
      </c>
      <c r="F194">
        <v>77</v>
      </c>
      <c r="G194">
        <v>51</v>
      </c>
      <c r="H194">
        <v>58</v>
      </c>
      <c r="I194">
        <v>64</v>
      </c>
      <c r="J194" t="s">
        <v>1527</v>
      </c>
    </row>
    <row r="195" spans="1:10" x14ac:dyDescent="0.2">
      <c r="A195" t="s">
        <v>1477</v>
      </c>
      <c r="B195">
        <v>8</v>
      </c>
      <c r="C195">
        <v>25</v>
      </c>
      <c r="D195">
        <v>48</v>
      </c>
      <c r="E195">
        <v>89</v>
      </c>
      <c r="F195">
        <v>77</v>
      </c>
      <c r="G195">
        <v>52</v>
      </c>
      <c r="H195">
        <v>59</v>
      </c>
      <c r="I195">
        <v>65</v>
      </c>
      <c r="J195" t="s">
        <v>1527</v>
      </c>
    </row>
    <row r="196" spans="1:10" x14ac:dyDescent="0.2">
      <c r="A196" t="s">
        <v>1478</v>
      </c>
      <c r="B196">
        <v>10</v>
      </c>
      <c r="C196">
        <v>25</v>
      </c>
      <c r="D196">
        <v>49</v>
      </c>
      <c r="E196">
        <v>91</v>
      </c>
      <c r="F196">
        <v>78</v>
      </c>
      <c r="G196">
        <v>56</v>
      </c>
      <c r="H196">
        <v>59</v>
      </c>
      <c r="I196">
        <v>65</v>
      </c>
      <c r="J196" t="s">
        <v>1527</v>
      </c>
    </row>
    <row r="197" spans="1:10" x14ac:dyDescent="0.2">
      <c r="A197" t="s">
        <v>1479</v>
      </c>
      <c r="B197">
        <v>200</v>
      </c>
      <c r="C197">
        <v>30</v>
      </c>
      <c r="D197">
        <v>31</v>
      </c>
      <c r="E197">
        <v>93</v>
      </c>
      <c r="F197">
        <v>77</v>
      </c>
      <c r="G197">
        <v>46</v>
      </c>
      <c r="H197">
        <v>53</v>
      </c>
      <c r="I197">
        <v>59</v>
      </c>
      <c r="J197" t="s">
        <v>3747</v>
      </c>
    </row>
    <row r="198" spans="1:10" x14ac:dyDescent="0.2">
      <c r="A198" t="s">
        <v>1480</v>
      </c>
      <c r="B198">
        <v>90</v>
      </c>
      <c r="C198">
        <v>29</v>
      </c>
      <c r="D198">
        <v>34</v>
      </c>
      <c r="E198">
        <v>93</v>
      </c>
      <c r="F198">
        <v>77</v>
      </c>
      <c r="G198">
        <v>46</v>
      </c>
      <c r="H198">
        <v>53</v>
      </c>
      <c r="I198">
        <v>59</v>
      </c>
      <c r="J198" t="s">
        <v>3747</v>
      </c>
    </row>
    <row r="199" spans="1:10" x14ac:dyDescent="0.2">
      <c r="A199" t="s">
        <v>1481</v>
      </c>
      <c r="B199">
        <v>100</v>
      </c>
      <c r="C199">
        <v>28</v>
      </c>
      <c r="D199">
        <v>42</v>
      </c>
      <c r="E199">
        <v>93</v>
      </c>
      <c r="F199">
        <v>76</v>
      </c>
      <c r="G199">
        <v>39</v>
      </c>
      <c r="H199">
        <v>46</v>
      </c>
      <c r="I199">
        <v>52</v>
      </c>
      <c r="J199" t="s">
        <v>3747</v>
      </c>
    </row>
    <row r="200" spans="1:10" x14ac:dyDescent="0.2">
      <c r="A200" t="s">
        <v>1482</v>
      </c>
      <c r="B200">
        <v>18</v>
      </c>
      <c r="C200">
        <v>30</v>
      </c>
      <c r="D200">
        <v>37</v>
      </c>
      <c r="E200">
        <v>89</v>
      </c>
      <c r="F200">
        <v>79</v>
      </c>
      <c r="G200">
        <v>66</v>
      </c>
      <c r="H200">
        <v>73</v>
      </c>
      <c r="I200">
        <v>79</v>
      </c>
      <c r="J200" t="s">
        <v>1527</v>
      </c>
    </row>
    <row r="201" spans="1:10" x14ac:dyDescent="0.2">
      <c r="A201" t="s">
        <v>1483</v>
      </c>
      <c r="B201">
        <v>30</v>
      </c>
      <c r="C201">
        <v>30</v>
      </c>
      <c r="D201">
        <v>32</v>
      </c>
      <c r="E201">
        <v>92</v>
      </c>
      <c r="F201">
        <v>78</v>
      </c>
      <c r="G201">
        <v>54</v>
      </c>
      <c r="H201">
        <v>61</v>
      </c>
      <c r="I201">
        <v>67</v>
      </c>
      <c r="J201" t="s">
        <v>1527</v>
      </c>
    </row>
    <row r="202" spans="1:10" x14ac:dyDescent="0.2">
      <c r="A202" t="s">
        <v>1484</v>
      </c>
      <c r="B202">
        <v>10</v>
      </c>
      <c r="C202">
        <v>29</v>
      </c>
      <c r="D202">
        <v>35</v>
      </c>
      <c r="E202">
        <v>89</v>
      </c>
      <c r="F202">
        <v>78</v>
      </c>
      <c r="G202">
        <v>59</v>
      </c>
      <c r="H202">
        <v>66</v>
      </c>
      <c r="I202">
        <v>72</v>
      </c>
      <c r="J202" t="s">
        <v>3747</v>
      </c>
    </row>
    <row r="203" spans="1:10" x14ac:dyDescent="0.2">
      <c r="A203" t="s">
        <v>1485</v>
      </c>
      <c r="B203">
        <v>11</v>
      </c>
      <c r="C203">
        <v>28</v>
      </c>
      <c r="D203">
        <v>47</v>
      </c>
      <c r="E203">
        <v>93</v>
      </c>
      <c r="F203">
        <v>79</v>
      </c>
      <c r="G203">
        <v>59</v>
      </c>
      <c r="H203">
        <v>66</v>
      </c>
      <c r="I203">
        <v>72</v>
      </c>
      <c r="J203" t="s">
        <v>3747</v>
      </c>
    </row>
    <row r="204" spans="1:10" x14ac:dyDescent="0.2">
      <c r="A204" t="s">
        <v>1486</v>
      </c>
      <c r="B204">
        <v>55</v>
      </c>
      <c r="C204">
        <v>28</v>
      </c>
      <c r="D204">
        <v>38</v>
      </c>
      <c r="E204">
        <v>93</v>
      </c>
      <c r="F204">
        <v>76</v>
      </c>
      <c r="G204">
        <v>39</v>
      </c>
      <c r="H204">
        <v>46</v>
      </c>
      <c r="I204">
        <v>52</v>
      </c>
      <c r="J204" t="s">
        <v>3747</v>
      </c>
    </row>
    <row r="205" spans="1:10" x14ac:dyDescent="0.2">
      <c r="A205" t="s">
        <v>1487</v>
      </c>
      <c r="B205">
        <v>30</v>
      </c>
      <c r="C205">
        <v>27</v>
      </c>
      <c r="D205">
        <v>43</v>
      </c>
      <c r="E205">
        <v>92</v>
      </c>
      <c r="F205">
        <v>79</v>
      </c>
      <c r="G205">
        <v>61</v>
      </c>
      <c r="H205">
        <v>68</v>
      </c>
      <c r="I205">
        <v>74</v>
      </c>
      <c r="J205" t="s">
        <v>3747</v>
      </c>
    </row>
    <row r="206" spans="1:10" x14ac:dyDescent="0.2">
      <c r="A206" t="s">
        <v>1488</v>
      </c>
      <c r="B206">
        <v>55</v>
      </c>
      <c r="C206">
        <v>30</v>
      </c>
      <c r="D206">
        <v>28</v>
      </c>
      <c r="E206">
        <v>93</v>
      </c>
      <c r="F206">
        <v>76</v>
      </c>
      <c r="G206">
        <v>39</v>
      </c>
      <c r="H206">
        <v>46</v>
      </c>
      <c r="I206">
        <v>52</v>
      </c>
      <c r="J206" t="s">
        <v>3747</v>
      </c>
    </row>
    <row r="207" spans="1:10" x14ac:dyDescent="0.2">
      <c r="A207" t="s">
        <v>1489</v>
      </c>
      <c r="B207">
        <v>19</v>
      </c>
      <c r="C207">
        <v>28</v>
      </c>
      <c r="D207">
        <v>40</v>
      </c>
      <c r="E207">
        <v>91</v>
      </c>
      <c r="F207">
        <v>77</v>
      </c>
      <c r="G207">
        <v>49</v>
      </c>
      <c r="H207">
        <v>56</v>
      </c>
      <c r="I207">
        <v>62</v>
      </c>
      <c r="J207" t="s">
        <v>3747</v>
      </c>
    </row>
    <row r="208" spans="1:10" x14ac:dyDescent="0.2">
      <c r="A208" t="s">
        <v>1490</v>
      </c>
      <c r="B208">
        <v>85</v>
      </c>
      <c r="C208">
        <v>30</v>
      </c>
      <c r="D208">
        <v>33</v>
      </c>
      <c r="E208">
        <v>90</v>
      </c>
      <c r="F208">
        <v>78</v>
      </c>
      <c r="G208">
        <v>57</v>
      </c>
      <c r="H208">
        <v>64</v>
      </c>
      <c r="I208">
        <v>70</v>
      </c>
      <c r="J208" t="s">
        <v>3747</v>
      </c>
    </row>
    <row r="209" spans="1:10" x14ac:dyDescent="0.2">
      <c r="A209" t="s">
        <v>2737</v>
      </c>
      <c r="B209">
        <v>13</v>
      </c>
      <c r="C209">
        <v>27</v>
      </c>
      <c r="D209">
        <v>43</v>
      </c>
      <c r="E209">
        <v>90</v>
      </c>
      <c r="F209">
        <v>78</v>
      </c>
      <c r="G209">
        <v>57</v>
      </c>
      <c r="H209">
        <v>64</v>
      </c>
      <c r="I209">
        <v>70</v>
      </c>
      <c r="J209" t="s">
        <v>3747</v>
      </c>
    </row>
    <row r="210" spans="1:10" x14ac:dyDescent="0.2">
      <c r="A210" t="s">
        <v>2738</v>
      </c>
      <c r="B210">
        <v>15</v>
      </c>
      <c r="C210">
        <v>26</v>
      </c>
      <c r="D210">
        <v>47</v>
      </c>
      <c r="E210">
        <v>90</v>
      </c>
      <c r="F210">
        <v>78</v>
      </c>
      <c r="G210">
        <v>57</v>
      </c>
      <c r="H210">
        <v>64</v>
      </c>
      <c r="I210">
        <v>70</v>
      </c>
      <c r="J210" t="s">
        <v>3747</v>
      </c>
    </row>
    <row r="211" spans="1:10" x14ac:dyDescent="0.2">
      <c r="A211" t="s">
        <v>2739</v>
      </c>
      <c r="B211" t="s">
        <v>2740</v>
      </c>
      <c r="C211">
        <v>223</v>
      </c>
      <c r="D211">
        <v>31</v>
      </c>
      <c r="E211">
        <v>30</v>
      </c>
      <c r="F211">
        <v>95</v>
      </c>
      <c r="G211">
        <v>76</v>
      </c>
      <c r="H211">
        <v>49</v>
      </c>
      <c r="I211">
        <v>56</v>
      </c>
      <c r="J211">
        <v>62</v>
      </c>
    </row>
    <row r="212" spans="1:10" x14ac:dyDescent="0.2">
      <c r="A212" t="s">
        <v>1388</v>
      </c>
      <c r="B212">
        <v>466</v>
      </c>
      <c r="C212">
        <v>32</v>
      </c>
      <c r="D212">
        <v>25</v>
      </c>
      <c r="E212">
        <v>94</v>
      </c>
      <c r="F212">
        <v>76</v>
      </c>
      <c r="G212">
        <v>37</v>
      </c>
      <c r="H212">
        <v>44</v>
      </c>
      <c r="I212">
        <v>50</v>
      </c>
      <c r="J212" t="s">
        <v>3747</v>
      </c>
    </row>
    <row r="213" spans="1:10" x14ac:dyDescent="0.2">
      <c r="A213" t="s">
        <v>1389</v>
      </c>
      <c r="B213">
        <v>802</v>
      </c>
      <c r="C213">
        <v>34</v>
      </c>
      <c r="D213">
        <v>25</v>
      </c>
      <c r="E213">
        <v>92</v>
      </c>
      <c r="F213">
        <v>75</v>
      </c>
      <c r="G213">
        <v>34</v>
      </c>
      <c r="H213">
        <v>41</v>
      </c>
      <c r="I213">
        <v>47</v>
      </c>
      <c r="J213" t="s">
        <v>3747</v>
      </c>
    </row>
    <row r="214" spans="1:10" x14ac:dyDescent="0.2">
      <c r="A214" t="s">
        <v>1390</v>
      </c>
      <c r="B214">
        <v>1010</v>
      </c>
      <c r="C214">
        <v>33</v>
      </c>
      <c r="D214">
        <v>23</v>
      </c>
      <c r="E214">
        <v>91</v>
      </c>
      <c r="F214">
        <v>74</v>
      </c>
      <c r="G214">
        <v>30</v>
      </c>
      <c r="H214">
        <v>37</v>
      </c>
      <c r="I214">
        <v>43</v>
      </c>
      <c r="J214" t="s">
        <v>3747</v>
      </c>
    </row>
    <row r="215" spans="1:10" x14ac:dyDescent="0.2">
      <c r="A215" t="s">
        <v>1391</v>
      </c>
      <c r="B215">
        <v>148</v>
      </c>
      <c r="C215">
        <v>33</v>
      </c>
      <c r="D215">
        <v>25</v>
      </c>
      <c r="E215">
        <v>94</v>
      </c>
      <c r="F215">
        <v>76</v>
      </c>
      <c r="G215">
        <v>37</v>
      </c>
      <c r="H215">
        <v>44</v>
      </c>
      <c r="I215">
        <v>50</v>
      </c>
      <c r="J215" t="s">
        <v>3747</v>
      </c>
    </row>
    <row r="216" spans="1:10" x14ac:dyDescent="0.2">
      <c r="A216" t="s">
        <v>1392</v>
      </c>
      <c r="B216">
        <v>20</v>
      </c>
      <c r="C216">
        <v>31</v>
      </c>
      <c r="D216">
        <v>34</v>
      </c>
      <c r="E216">
        <v>91</v>
      </c>
      <c r="F216">
        <v>79</v>
      </c>
      <c r="G216">
        <v>62</v>
      </c>
      <c r="H216">
        <v>69</v>
      </c>
      <c r="I216">
        <v>75</v>
      </c>
      <c r="J216" t="s">
        <v>3747</v>
      </c>
    </row>
    <row r="217" spans="1:10" x14ac:dyDescent="0.2">
      <c r="A217" t="s">
        <v>1393</v>
      </c>
      <c r="B217">
        <v>232</v>
      </c>
      <c r="C217">
        <v>32</v>
      </c>
      <c r="D217">
        <v>27</v>
      </c>
      <c r="E217">
        <v>94</v>
      </c>
      <c r="F217">
        <v>76</v>
      </c>
      <c r="G217">
        <v>37</v>
      </c>
      <c r="H217">
        <v>44</v>
      </c>
      <c r="I217">
        <v>50</v>
      </c>
      <c r="J217" t="s">
        <v>3747</v>
      </c>
    </row>
    <row r="218" spans="1:10" x14ac:dyDescent="0.2">
      <c r="A218" t="s">
        <v>1394</v>
      </c>
      <c r="B218">
        <v>971</v>
      </c>
      <c r="C218">
        <v>32</v>
      </c>
      <c r="D218">
        <v>24</v>
      </c>
      <c r="E218">
        <v>93</v>
      </c>
      <c r="F218">
        <v>76</v>
      </c>
      <c r="G218">
        <v>39</v>
      </c>
      <c r="H218">
        <v>46</v>
      </c>
      <c r="I218">
        <v>53</v>
      </c>
      <c r="J218" t="s">
        <v>3747</v>
      </c>
    </row>
    <row r="219" spans="1:10" x14ac:dyDescent="0.2">
      <c r="A219" t="s">
        <v>1395</v>
      </c>
      <c r="B219">
        <v>397</v>
      </c>
      <c r="C219">
        <v>32</v>
      </c>
      <c r="D219">
        <v>27</v>
      </c>
      <c r="E219">
        <v>93</v>
      </c>
      <c r="F219">
        <v>75</v>
      </c>
      <c r="G219">
        <v>33</v>
      </c>
      <c r="H219">
        <v>40</v>
      </c>
      <c r="I219">
        <v>46</v>
      </c>
      <c r="J219" t="s">
        <v>3747</v>
      </c>
    </row>
    <row r="220" spans="1:10" x14ac:dyDescent="0.2">
      <c r="A220" t="s">
        <v>1396</v>
      </c>
      <c r="B220">
        <v>710</v>
      </c>
      <c r="C220">
        <v>34</v>
      </c>
      <c r="D220">
        <v>22</v>
      </c>
      <c r="E220">
        <v>93</v>
      </c>
      <c r="F220">
        <v>76</v>
      </c>
      <c r="G220">
        <v>39</v>
      </c>
      <c r="H220">
        <v>46</v>
      </c>
      <c r="I220">
        <v>52</v>
      </c>
      <c r="J220" t="s">
        <v>3747</v>
      </c>
    </row>
    <row r="221" spans="1:10" x14ac:dyDescent="0.2">
      <c r="A221" t="s">
        <v>1397</v>
      </c>
      <c r="B221">
        <v>310</v>
      </c>
      <c r="C221">
        <v>32</v>
      </c>
      <c r="D221">
        <v>25</v>
      </c>
      <c r="E221">
        <v>93</v>
      </c>
      <c r="F221">
        <v>76</v>
      </c>
      <c r="G221">
        <v>39</v>
      </c>
      <c r="H221">
        <v>46</v>
      </c>
      <c r="I221">
        <v>52</v>
      </c>
      <c r="J221" t="s">
        <v>3747</v>
      </c>
    </row>
    <row r="222" spans="1:10" x14ac:dyDescent="0.2">
      <c r="A222" t="s">
        <v>1398</v>
      </c>
      <c r="B222">
        <v>1275</v>
      </c>
      <c r="C222">
        <v>34</v>
      </c>
      <c r="D222">
        <v>21</v>
      </c>
      <c r="E222">
        <v>91</v>
      </c>
      <c r="F222">
        <v>74</v>
      </c>
      <c r="G222">
        <v>30</v>
      </c>
      <c r="H222">
        <v>37</v>
      </c>
      <c r="I222">
        <v>43</v>
      </c>
      <c r="J222" t="s">
        <v>3747</v>
      </c>
    </row>
    <row r="223" spans="1:10" x14ac:dyDescent="0.2">
      <c r="A223" t="s">
        <v>1399</v>
      </c>
      <c r="B223">
        <v>980</v>
      </c>
      <c r="C223">
        <v>33</v>
      </c>
      <c r="D223">
        <v>22</v>
      </c>
      <c r="E223">
        <v>90</v>
      </c>
      <c r="F223">
        <v>75</v>
      </c>
      <c r="G223">
        <v>38</v>
      </c>
      <c r="H223">
        <v>45</v>
      </c>
      <c r="I223">
        <v>51</v>
      </c>
      <c r="J223" t="s">
        <v>3747</v>
      </c>
    </row>
    <row r="224" spans="1:10" x14ac:dyDescent="0.2">
      <c r="A224" t="s">
        <v>1400</v>
      </c>
      <c r="B224">
        <v>693</v>
      </c>
      <c r="C224">
        <v>33</v>
      </c>
      <c r="D224">
        <v>23</v>
      </c>
      <c r="E224">
        <v>91</v>
      </c>
      <c r="F224">
        <v>75</v>
      </c>
      <c r="G224">
        <v>36</v>
      </c>
      <c r="H224">
        <v>43</v>
      </c>
      <c r="I224">
        <v>49</v>
      </c>
      <c r="J224" t="s">
        <v>3747</v>
      </c>
    </row>
    <row r="225" spans="1:10" x14ac:dyDescent="0.2">
      <c r="A225" t="s">
        <v>1401</v>
      </c>
      <c r="B225">
        <v>354</v>
      </c>
      <c r="C225">
        <v>32</v>
      </c>
      <c r="D225">
        <v>27</v>
      </c>
      <c r="E225">
        <v>94</v>
      </c>
      <c r="F225">
        <v>75</v>
      </c>
      <c r="G225">
        <v>31</v>
      </c>
      <c r="H225">
        <v>38</v>
      </c>
      <c r="I225">
        <v>44</v>
      </c>
      <c r="J225" t="s">
        <v>3747</v>
      </c>
    </row>
    <row r="226" spans="1:10" x14ac:dyDescent="0.2">
      <c r="A226" t="s">
        <v>1402</v>
      </c>
      <c r="B226">
        <v>1068</v>
      </c>
      <c r="C226">
        <v>34</v>
      </c>
      <c r="D226">
        <v>26</v>
      </c>
      <c r="E226">
        <v>91</v>
      </c>
      <c r="F226">
        <v>74</v>
      </c>
      <c r="G226">
        <v>30</v>
      </c>
      <c r="H226">
        <v>37</v>
      </c>
      <c r="I226">
        <v>43</v>
      </c>
      <c r="J226" t="s">
        <v>3747</v>
      </c>
    </row>
    <row r="227" spans="1:10" x14ac:dyDescent="0.2">
      <c r="A227" t="s">
        <v>1403</v>
      </c>
      <c r="B227">
        <v>292</v>
      </c>
      <c r="C227">
        <v>31</v>
      </c>
      <c r="D227">
        <v>30</v>
      </c>
      <c r="E227">
        <v>95</v>
      </c>
      <c r="F227">
        <v>77</v>
      </c>
      <c r="G227">
        <v>42</v>
      </c>
      <c r="H227">
        <v>49</v>
      </c>
      <c r="I227">
        <v>55</v>
      </c>
      <c r="J227" t="s">
        <v>3747</v>
      </c>
    </row>
    <row r="228" spans="1:10" x14ac:dyDescent="0.2">
      <c r="A228" t="s">
        <v>1404</v>
      </c>
      <c r="B228">
        <v>637</v>
      </c>
      <c r="C228">
        <v>34</v>
      </c>
      <c r="D228">
        <v>21</v>
      </c>
      <c r="E228">
        <v>94</v>
      </c>
      <c r="F228">
        <v>74</v>
      </c>
      <c r="G228">
        <v>25</v>
      </c>
      <c r="H228">
        <v>32</v>
      </c>
      <c r="I228">
        <v>38</v>
      </c>
      <c r="J228" t="s">
        <v>3747</v>
      </c>
    </row>
    <row r="229" spans="1:10" x14ac:dyDescent="0.2">
      <c r="A229" t="s">
        <v>1405</v>
      </c>
      <c r="B229">
        <v>49</v>
      </c>
      <c r="C229">
        <v>32</v>
      </c>
      <c r="D229">
        <v>29</v>
      </c>
      <c r="E229">
        <v>93</v>
      </c>
      <c r="F229">
        <v>76</v>
      </c>
      <c r="G229">
        <v>39</v>
      </c>
      <c r="H229">
        <v>46</v>
      </c>
      <c r="I229">
        <v>52</v>
      </c>
      <c r="J229" t="s">
        <v>3747</v>
      </c>
    </row>
    <row r="230" spans="1:10" x14ac:dyDescent="0.2">
      <c r="A230" t="s">
        <v>1406</v>
      </c>
      <c r="B230">
        <v>233</v>
      </c>
      <c r="C230">
        <v>31</v>
      </c>
      <c r="D230">
        <v>34</v>
      </c>
      <c r="E230">
        <v>94</v>
      </c>
      <c r="F230">
        <v>77</v>
      </c>
      <c r="G230">
        <v>44</v>
      </c>
      <c r="H230">
        <v>51</v>
      </c>
      <c r="I230">
        <v>57</v>
      </c>
      <c r="J230" t="s">
        <v>3747</v>
      </c>
    </row>
    <row r="231" spans="1:10" x14ac:dyDescent="0.2">
      <c r="A231" t="s">
        <v>1407</v>
      </c>
      <c r="B231">
        <v>203</v>
      </c>
      <c r="C231">
        <v>30</v>
      </c>
      <c r="D231">
        <v>31</v>
      </c>
      <c r="E231">
        <v>94</v>
      </c>
      <c r="F231">
        <v>76</v>
      </c>
      <c r="G231">
        <v>37</v>
      </c>
      <c r="H231">
        <v>44</v>
      </c>
      <c r="I231">
        <v>50</v>
      </c>
      <c r="J231" t="s">
        <v>3747</v>
      </c>
    </row>
    <row r="232" spans="1:10" x14ac:dyDescent="0.2">
      <c r="A232" t="s">
        <v>1408</v>
      </c>
      <c r="B232">
        <v>151</v>
      </c>
      <c r="C232">
        <v>31</v>
      </c>
      <c r="D232">
        <v>32</v>
      </c>
      <c r="E232">
        <v>94</v>
      </c>
      <c r="F232">
        <v>76</v>
      </c>
      <c r="G232">
        <v>37</v>
      </c>
      <c r="H232">
        <v>44</v>
      </c>
      <c r="I232">
        <v>50</v>
      </c>
      <c r="J232" t="s">
        <v>3747</v>
      </c>
    </row>
    <row r="233" spans="1:10" x14ac:dyDescent="0.2">
      <c r="A233" t="s">
        <v>1409</v>
      </c>
      <c r="B233">
        <v>34</v>
      </c>
      <c r="C233">
        <v>21</v>
      </c>
      <c r="D233">
        <v>61</v>
      </c>
      <c r="E233">
        <v>90</v>
      </c>
      <c r="F233">
        <v>72</v>
      </c>
      <c r="G233">
        <v>19</v>
      </c>
      <c r="H233">
        <v>26</v>
      </c>
      <c r="I233">
        <v>32</v>
      </c>
      <c r="J233" t="s">
        <v>3747</v>
      </c>
    </row>
    <row r="234" spans="1:10" x14ac:dyDescent="0.2">
      <c r="A234" t="s">
        <v>1410</v>
      </c>
      <c r="B234">
        <v>36</v>
      </c>
      <c r="C234">
        <v>19</v>
      </c>
      <c r="D234">
        <v>63</v>
      </c>
      <c r="E234">
        <v>84</v>
      </c>
      <c r="F234">
        <v>74</v>
      </c>
      <c r="G234">
        <v>41</v>
      </c>
      <c r="H234">
        <v>48</v>
      </c>
      <c r="I234">
        <v>54</v>
      </c>
      <c r="J234" t="s">
        <v>1527</v>
      </c>
    </row>
    <row r="235" spans="1:10" x14ac:dyDescent="0.2">
      <c r="A235" t="s">
        <v>1411</v>
      </c>
      <c r="B235">
        <v>16</v>
      </c>
      <c r="C235">
        <v>21</v>
      </c>
      <c r="D235">
        <v>63</v>
      </c>
      <c r="E235">
        <v>88</v>
      </c>
      <c r="F235">
        <v>73</v>
      </c>
      <c r="G235">
        <v>29</v>
      </c>
      <c r="H235">
        <v>36</v>
      </c>
      <c r="I235">
        <v>42</v>
      </c>
      <c r="J235" t="s">
        <v>1527</v>
      </c>
    </row>
    <row r="236" spans="1:10" x14ac:dyDescent="0.2">
      <c r="A236" t="s">
        <v>1412</v>
      </c>
      <c r="B236">
        <v>56</v>
      </c>
      <c r="C236">
        <v>20</v>
      </c>
      <c r="D236">
        <v>61</v>
      </c>
      <c r="E236">
        <v>88</v>
      </c>
      <c r="F236">
        <v>74</v>
      </c>
      <c r="G236">
        <v>35</v>
      </c>
      <c r="H236">
        <v>42</v>
      </c>
      <c r="I236">
        <v>48</v>
      </c>
      <c r="J236" t="s">
        <v>3747</v>
      </c>
    </row>
    <row r="237" spans="1:10" x14ac:dyDescent="0.2">
      <c r="A237" t="s">
        <v>1413</v>
      </c>
      <c r="B237">
        <v>18</v>
      </c>
      <c r="C237">
        <v>21</v>
      </c>
      <c r="D237">
        <v>68</v>
      </c>
      <c r="E237">
        <v>85</v>
      </c>
      <c r="F237">
        <v>74</v>
      </c>
      <c r="G237">
        <v>40</v>
      </c>
      <c r="H237">
        <v>47</v>
      </c>
      <c r="I237">
        <v>53</v>
      </c>
      <c r="J237" t="s">
        <v>1527</v>
      </c>
    </row>
    <row r="238" spans="1:10" x14ac:dyDescent="0.2">
      <c r="A238" t="s">
        <v>1414</v>
      </c>
      <c r="B238">
        <v>148</v>
      </c>
      <c r="C238">
        <v>21</v>
      </c>
      <c r="D238">
        <v>62</v>
      </c>
      <c r="E238">
        <v>85</v>
      </c>
      <c r="F238">
        <v>74</v>
      </c>
      <c r="G238">
        <v>40</v>
      </c>
      <c r="H238">
        <v>47</v>
      </c>
      <c r="I238">
        <v>53</v>
      </c>
      <c r="J238" t="s">
        <v>1527</v>
      </c>
    </row>
    <row r="239" spans="1:10" x14ac:dyDescent="0.2">
      <c r="A239" t="s">
        <v>1415</v>
      </c>
      <c r="B239">
        <v>449</v>
      </c>
      <c r="C239">
        <v>21</v>
      </c>
      <c r="D239">
        <v>61</v>
      </c>
      <c r="E239">
        <v>87</v>
      </c>
      <c r="F239">
        <v>73</v>
      </c>
      <c r="G239">
        <v>30</v>
      </c>
      <c r="H239">
        <v>37</v>
      </c>
      <c r="I239">
        <v>43</v>
      </c>
      <c r="J239" t="s">
        <v>3747</v>
      </c>
    </row>
    <row r="240" spans="1:10" x14ac:dyDescent="0.2">
      <c r="A240" t="s">
        <v>1416</v>
      </c>
      <c r="B240">
        <v>900</v>
      </c>
      <c r="C240">
        <v>21</v>
      </c>
      <c r="D240">
        <v>59</v>
      </c>
      <c r="E240">
        <v>85</v>
      </c>
      <c r="F240">
        <v>72</v>
      </c>
      <c r="G240">
        <v>28</v>
      </c>
      <c r="H240">
        <v>35</v>
      </c>
      <c r="I240">
        <v>41</v>
      </c>
      <c r="J240" t="s">
        <v>1527</v>
      </c>
    </row>
    <row r="241" spans="1:10" x14ac:dyDescent="0.2">
      <c r="A241" t="s">
        <v>3821</v>
      </c>
      <c r="B241">
        <v>2838</v>
      </c>
      <c r="C241">
        <v>43</v>
      </c>
      <c r="D241">
        <v>9</v>
      </c>
      <c r="E241">
        <v>94</v>
      </c>
      <c r="F241">
        <v>63</v>
      </c>
      <c r="G241">
        <v>-34</v>
      </c>
      <c r="H241">
        <v>-27</v>
      </c>
      <c r="I241">
        <v>-21</v>
      </c>
      <c r="J241" t="s">
        <v>831</v>
      </c>
    </row>
    <row r="242" spans="1:10" x14ac:dyDescent="0.2">
      <c r="A242" t="s">
        <v>3822</v>
      </c>
      <c r="B242">
        <v>4150</v>
      </c>
      <c r="C242">
        <v>42</v>
      </c>
      <c r="D242">
        <v>2</v>
      </c>
      <c r="E242">
        <v>90</v>
      </c>
      <c r="F242">
        <v>62</v>
      </c>
      <c r="G242">
        <v>-22</v>
      </c>
      <c r="H242">
        <v>-15</v>
      </c>
      <c r="I242">
        <v>-9</v>
      </c>
      <c r="J242" t="s">
        <v>831</v>
      </c>
    </row>
    <row r="243" spans="1:10" x14ac:dyDescent="0.2">
      <c r="A243" t="s">
        <v>3823</v>
      </c>
      <c r="B243">
        <v>3002</v>
      </c>
      <c r="C243">
        <v>47</v>
      </c>
      <c r="D243">
        <v>-1</v>
      </c>
      <c r="E243">
        <v>86</v>
      </c>
      <c r="F243">
        <v>61</v>
      </c>
      <c r="G243">
        <v>-30</v>
      </c>
      <c r="H243">
        <v>-23</v>
      </c>
      <c r="I243">
        <v>-17</v>
      </c>
      <c r="J243" t="s">
        <v>831</v>
      </c>
    </row>
    <row r="244" spans="1:10" x14ac:dyDescent="0.2">
      <c r="A244" t="s">
        <v>3824</v>
      </c>
      <c r="B244">
        <v>4741</v>
      </c>
      <c r="C244">
        <v>43</v>
      </c>
      <c r="D244">
        <v>-6</v>
      </c>
      <c r="E244">
        <v>89</v>
      </c>
      <c r="F244">
        <v>60</v>
      </c>
      <c r="G244">
        <v>-39</v>
      </c>
      <c r="H244">
        <v>-32</v>
      </c>
      <c r="I244">
        <v>-26</v>
      </c>
      <c r="J244" t="s">
        <v>831</v>
      </c>
    </row>
    <row r="245" spans="1:10" x14ac:dyDescent="0.2">
      <c r="A245" t="s">
        <v>3825</v>
      </c>
      <c r="B245">
        <v>1196</v>
      </c>
      <c r="C245">
        <v>46</v>
      </c>
      <c r="D245">
        <v>15</v>
      </c>
      <c r="E245">
        <v>93</v>
      </c>
      <c r="F245">
        <v>64</v>
      </c>
      <c r="G245">
        <v>-28</v>
      </c>
      <c r="H245">
        <v>-21</v>
      </c>
      <c r="I245">
        <v>-14</v>
      </c>
      <c r="J245" t="s">
        <v>831</v>
      </c>
    </row>
    <row r="246" spans="1:10" x14ac:dyDescent="0.2">
      <c r="A246" t="s">
        <v>3826</v>
      </c>
      <c r="B246">
        <v>1413</v>
      </c>
      <c r="C246">
        <v>46</v>
      </c>
      <c r="D246">
        <v>15</v>
      </c>
      <c r="E246">
        <v>93</v>
      </c>
      <c r="F246">
        <v>64</v>
      </c>
      <c r="G246">
        <v>-28</v>
      </c>
      <c r="H246">
        <v>-21</v>
      </c>
      <c r="I246">
        <v>-15</v>
      </c>
      <c r="J246" t="s">
        <v>831</v>
      </c>
    </row>
    <row r="247" spans="1:10" x14ac:dyDescent="0.2">
      <c r="A247" t="s">
        <v>3827</v>
      </c>
      <c r="B247">
        <v>2583</v>
      </c>
      <c r="C247">
        <v>46</v>
      </c>
      <c r="D247">
        <v>0</v>
      </c>
      <c r="E247">
        <v>87</v>
      </c>
      <c r="F247">
        <v>62</v>
      </c>
      <c r="G247">
        <v>-27</v>
      </c>
      <c r="H247">
        <v>-20</v>
      </c>
      <c r="I247">
        <v>-13</v>
      </c>
      <c r="J247" t="s">
        <v>831</v>
      </c>
    </row>
    <row r="248" spans="1:10" x14ac:dyDescent="0.2">
      <c r="A248" t="s">
        <v>3828</v>
      </c>
      <c r="B248">
        <v>2996</v>
      </c>
      <c r="C248">
        <v>43</v>
      </c>
      <c r="D248">
        <v>5</v>
      </c>
      <c r="E248">
        <v>96</v>
      </c>
      <c r="F248">
        <v>62</v>
      </c>
      <c r="G248">
        <v>-42</v>
      </c>
      <c r="H248">
        <v>-35</v>
      </c>
      <c r="I248">
        <v>-29</v>
      </c>
      <c r="J248" t="s">
        <v>831</v>
      </c>
    </row>
    <row r="249" spans="1:10" x14ac:dyDescent="0.2">
      <c r="A249" t="s">
        <v>3829</v>
      </c>
      <c r="B249">
        <v>3317</v>
      </c>
      <c r="C249">
        <v>47</v>
      </c>
      <c r="D249">
        <v>7</v>
      </c>
      <c r="E249">
        <v>84</v>
      </c>
      <c r="F249">
        <v>61</v>
      </c>
      <c r="G249">
        <v>-27</v>
      </c>
      <c r="H249">
        <v>-20</v>
      </c>
      <c r="I249">
        <v>-14</v>
      </c>
      <c r="J249" t="s">
        <v>831</v>
      </c>
    </row>
    <row r="250" spans="1:10" x14ac:dyDescent="0.2">
      <c r="A250" t="s">
        <v>3830</v>
      </c>
      <c r="B250">
        <v>4454</v>
      </c>
      <c r="C250">
        <v>43</v>
      </c>
      <c r="D250">
        <v>0</v>
      </c>
      <c r="E250">
        <v>90</v>
      </c>
      <c r="F250">
        <v>60</v>
      </c>
      <c r="G250">
        <v>-41</v>
      </c>
      <c r="H250">
        <v>-34</v>
      </c>
      <c r="I250">
        <v>-28</v>
      </c>
      <c r="J250" t="s">
        <v>831</v>
      </c>
    </row>
    <row r="251" spans="1:10" x14ac:dyDescent="0.2">
      <c r="A251" t="s">
        <v>3831</v>
      </c>
      <c r="B251">
        <v>4150</v>
      </c>
      <c r="C251">
        <v>42</v>
      </c>
      <c r="D251">
        <v>2</v>
      </c>
      <c r="E251">
        <v>95</v>
      </c>
      <c r="F251">
        <v>61</v>
      </c>
      <c r="G251">
        <v>-44</v>
      </c>
      <c r="H251">
        <v>-37</v>
      </c>
      <c r="I251">
        <v>-31</v>
      </c>
      <c r="J251" t="s">
        <v>831</v>
      </c>
    </row>
    <row r="252" spans="1:10" x14ac:dyDescent="0.2">
      <c r="A252" t="s">
        <v>3832</v>
      </c>
      <c r="B252">
        <v>706</v>
      </c>
      <c r="C252">
        <v>41</v>
      </c>
      <c r="D252">
        <v>-1</v>
      </c>
      <c r="E252">
        <v>91</v>
      </c>
      <c r="F252">
        <v>76</v>
      </c>
      <c r="G252">
        <v>42</v>
      </c>
      <c r="H252">
        <v>49</v>
      </c>
      <c r="I252">
        <v>55</v>
      </c>
      <c r="J252" t="s">
        <v>3747</v>
      </c>
    </row>
    <row r="253" spans="1:10" x14ac:dyDescent="0.2">
      <c r="A253" t="s">
        <v>3833</v>
      </c>
      <c r="B253">
        <v>453</v>
      </c>
      <c r="C253">
        <v>38</v>
      </c>
      <c r="D253">
        <v>10</v>
      </c>
      <c r="E253">
        <v>93</v>
      </c>
      <c r="F253">
        <v>77</v>
      </c>
      <c r="G253">
        <v>46</v>
      </c>
      <c r="H253">
        <v>53</v>
      </c>
      <c r="I253">
        <v>59</v>
      </c>
      <c r="J253" t="s">
        <v>3747</v>
      </c>
    </row>
    <row r="254" spans="1:10" x14ac:dyDescent="0.2">
      <c r="A254" t="s">
        <v>3834</v>
      </c>
      <c r="B254">
        <v>875</v>
      </c>
      <c r="C254">
        <v>40</v>
      </c>
      <c r="D254">
        <v>-2</v>
      </c>
      <c r="E254">
        <v>90</v>
      </c>
      <c r="F254">
        <v>74</v>
      </c>
      <c r="G254">
        <v>31</v>
      </c>
      <c r="H254">
        <v>38</v>
      </c>
      <c r="I254">
        <v>44</v>
      </c>
      <c r="J254" t="s">
        <v>3747</v>
      </c>
    </row>
    <row r="255" spans="1:10" x14ac:dyDescent="0.2">
      <c r="A255" t="s">
        <v>3835</v>
      </c>
      <c r="B255">
        <v>411</v>
      </c>
      <c r="C255">
        <v>37</v>
      </c>
      <c r="D255">
        <v>7</v>
      </c>
      <c r="E255">
        <v>93</v>
      </c>
      <c r="F255">
        <v>77</v>
      </c>
      <c r="G255">
        <v>46</v>
      </c>
      <c r="H255">
        <v>53</v>
      </c>
      <c r="I255">
        <v>59</v>
      </c>
      <c r="J255" t="s">
        <v>3747</v>
      </c>
    </row>
    <row r="256" spans="1:10" x14ac:dyDescent="0.2">
      <c r="A256" t="s">
        <v>3836</v>
      </c>
      <c r="B256">
        <v>754</v>
      </c>
      <c r="C256">
        <v>40</v>
      </c>
      <c r="D256">
        <v>2</v>
      </c>
      <c r="E256">
        <v>92</v>
      </c>
      <c r="F256">
        <v>74</v>
      </c>
      <c r="G256">
        <v>28</v>
      </c>
      <c r="H256">
        <v>35</v>
      </c>
      <c r="I256">
        <v>41</v>
      </c>
      <c r="J256" t="s">
        <v>3747</v>
      </c>
    </row>
    <row r="257" spans="1:10" x14ac:dyDescent="0.2">
      <c r="A257" t="s">
        <v>3837</v>
      </c>
      <c r="B257">
        <v>593</v>
      </c>
      <c r="C257">
        <v>41</v>
      </c>
      <c r="D257">
        <v>3</v>
      </c>
      <c r="E257">
        <v>89</v>
      </c>
      <c r="F257">
        <v>73</v>
      </c>
      <c r="G257">
        <v>27</v>
      </c>
      <c r="H257">
        <v>34</v>
      </c>
      <c r="I257">
        <v>40</v>
      </c>
      <c r="J257" t="s">
        <v>3747</v>
      </c>
    </row>
    <row r="258" spans="1:10" x14ac:dyDescent="0.2">
      <c r="A258" t="s">
        <v>3838</v>
      </c>
      <c r="B258">
        <v>620</v>
      </c>
      <c r="C258">
        <v>41</v>
      </c>
      <c r="D258">
        <v>0</v>
      </c>
      <c r="E258">
        <v>91</v>
      </c>
      <c r="F258">
        <v>73</v>
      </c>
      <c r="G258">
        <v>24</v>
      </c>
      <c r="H258">
        <v>31</v>
      </c>
      <c r="I258">
        <v>37</v>
      </c>
      <c r="J258" t="s">
        <v>3747</v>
      </c>
    </row>
    <row r="259" spans="1:10" x14ac:dyDescent="0.2">
      <c r="A259" t="s">
        <v>3839</v>
      </c>
      <c r="B259">
        <v>668</v>
      </c>
      <c r="C259">
        <v>42</v>
      </c>
      <c r="D259">
        <v>-1</v>
      </c>
      <c r="E259">
        <v>88</v>
      </c>
      <c r="F259">
        <v>73</v>
      </c>
      <c r="G259">
        <v>29</v>
      </c>
      <c r="H259">
        <v>36</v>
      </c>
      <c r="I259">
        <v>42</v>
      </c>
      <c r="J259" t="s">
        <v>3747</v>
      </c>
    </row>
    <row r="260" spans="1:10" x14ac:dyDescent="0.2">
      <c r="A260" t="s">
        <v>3840</v>
      </c>
      <c r="B260">
        <v>647</v>
      </c>
      <c r="C260">
        <v>41</v>
      </c>
      <c r="D260">
        <v>2</v>
      </c>
      <c r="E260">
        <v>91</v>
      </c>
      <c r="F260">
        <v>74</v>
      </c>
      <c r="G260">
        <v>30</v>
      </c>
      <c r="H260">
        <v>37</v>
      </c>
      <c r="I260">
        <v>43</v>
      </c>
      <c r="J260" t="s">
        <v>1527</v>
      </c>
    </row>
    <row r="261" spans="1:10" x14ac:dyDescent="0.2">
      <c r="A261" t="s">
        <v>3841</v>
      </c>
      <c r="B261">
        <v>696</v>
      </c>
      <c r="C261">
        <v>40</v>
      </c>
      <c r="D261">
        <v>1</v>
      </c>
      <c r="E261">
        <v>90</v>
      </c>
      <c r="F261">
        <v>74</v>
      </c>
      <c r="G261">
        <v>31</v>
      </c>
      <c r="H261">
        <v>38</v>
      </c>
      <c r="I261">
        <v>44</v>
      </c>
      <c r="J261" t="s">
        <v>3747</v>
      </c>
    </row>
    <row r="262" spans="1:10" x14ac:dyDescent="0.2">
      <c r="A262" t="s">
        <v>3842</v>
      </c>
      <c r="B262">
        <v>682</v>
      </c>
      <c r="C262">
        <v>39</v>
      </c>
      <c r="D262">
        <v>3</v>
      </c>
      <c r="E262">
        <v>91</v>
      </c>
      <c r="F262">
        <v>75</v>
      </c>
      <c r="G262">
        <v>36</v>
      </c>
      <c r="H262">
        <v>43</v>
      </c>
      <c r="I262">
        <v>49</v>
      </c>
      <c r="J262" t="s">
        <v>3747</v>
      </c>
    </row>
    <row r="263" spans="1:10" x14ac:dyDescent="0.2">
      <c r="A263" t="s">
        <v>3843</v>
      </c>
      <c r="B263">
        <v>785</v>
      </c>
      <c r="C263">
        <v>41</v>
      </c>
      <c r="D263">
        <v>-2</v>
      </c>
      <c r="E263">
        <v>90</v>
      </c>
      <c r="F263">
        <v>74</v>
      </c>
      <c r="G263">
        <v>31</v>
      </c>
      <c r="H263">
        <v>38</v>
      </c>
      <c r="I263">
        <v>43</v>
      </c>
      <c r="J263" t="s">
        <v>3747</v>
      </c>
    </row>
    <row r="264" spans="1:10" x14ac:dyDescent="0.2">
      <c r="A264" t="s">
        <v>3844</v>
      </c>
      <c r="C264">
        <v>42</v>
      </c>
      <c r="D264">
        <v>-2</v>
      </c>
      <c r="E264">
        <v>88</v>
      </c>
      <c r="F264">
        <v>74</v>
      </c>
      <c r="G264">
        <v>35</v>
      </c>
      <c r="H264">
        <v>42</v>
      </c>
      <c r="I264">
        <v>48</v>
      </c>
      <c r="J264" t="s">
        <v>3747</v>
      </c>
    </row>
    <row r="265" spans="1:10" x14ac:dyDescent="0.2">
      <c r="A265" t="s">
        <v>3845</v>
      </c>
      <c r="B265">
        <v>856</v>
      </c>
      <c r="C265">
        <v>42</v>
      </c>
      <c r="D265">
        <v>-4</v>
      </c>
      <c r="E265">
        <v>89</v>
      </c>
      <c r="F265">
        <v>73</v>
      </c>
      <c r="G265">
        <v>27</v>
      </c>
      <c r="H265">
        <v>34</v>
      </c>
      <c r="I265">
        <v>40</v>
      </c>
      <c r="J265" t="s">
        <v>3747</v>
      </c>
    </row>
    <row r="266" spans="1:10" x14ac:dyDescent="0.2">
      <c r="A266" t="s">
        <v>3846</v>
      </c>
      <c r="B266">
        <v>764</v>
      </c>
      <c r="C266">
        <v>41</v>
      </c>
      <c r="D266">
        <v>-2</v>
      </c>
      <c r="E266">
        <v>91</v>
      </c>
      <c r="F266">
        <v>75</v>
      </c>
      <c r="G266">
        <v>36</v>
      </c>
      <c r="H266">
        <v>43</v>
      </c>
      <c r="I266">
        <v>49</v>
      </c>
      <c r="J266" t="s">
        <v>3747</v>
      </c>
    </row>
    <row r="267" spans="1:10" x14ac:dyDescent="0.2">
      <c r="A267" t="s">
        <v>3847</v>
      </c>
      <c r="B267">
        <v>653</v>
      </c>
      <c r="C267">
        <v>42</v>
      </c>
      <c r="D267">
        <v>4</v>
      </c>
      <c r="E267">
        <v>89</v>
      </c>
      <c r="F267">
        <v>73</v>
      </c>
      <c r="G267">
        <v>27</v>
      </c>
      <c r="H267">
        <v>34</v>
      </c>
      <c r="I267">
        <v>40</v>
      </c>
      <c r="J267" t="s">
        <v>3747</v>
      </c>
    </row>
    <row r="268" spans="1:10" x14ac:dyDescent="0.2">
      <c r="A268" t="s">
        <v>3848</v>
      </c>
      <c r="B268">
        <v>541</v>
      </c>
      <c r="C268">
        <v>39</v>
      </c>
      <c r="D268">
        <v>4</v>
      </c>
      <c r="E268">
        <v>92</v>
      </c>
      <c r="F268">
        <v>75</v>
      </c>
      <c r="G268">
        <v>34</v>
      </c>
      <c r="H268">
        <v>41</v>
      </c>
      <c r="I268">
        <v>47</v>
      </c>
      <c r="J268" t="s">
        <v>3747</v>
      </c>
    </row>
    <row r="269" spans="1:10" x14ac:dyDescent="0.2">
      <c r="A269" t="s">
        <v>3849</v>
      </c>
      <c r="B269">
        <v>581</v>
      </c>
      <c r="C269">
        <v>41</v>
      </c>
      <c r="D269">
        <v>0</v>
      </c>
      <c r="E269">
        <v>90</v>
      </c>
      <c r="F269">
        <v>74</v>
      </c>
      <c r="G269">
        <v>31</v>
      </c>
      <c r="H269">
        <v>38</v>
      </c>
      <c r="I269">
        <v>43</v>
      </c>
      <c r="J269" t="s">
        <v>3747</v>
      </c>
    </row>
    <row r="270" spans="1:10" x14ac:dyDescent="0.2">
      <c r="A270" t="s">
        <v>3850</v>
      </c>
      <c r="B270">
        <v>629</v>
      </c>
      <c r="C270">
        <v>41</v>
      </c>
      <c r="D270">
        <v>1</v>
      </c>
      <c r="E270">
        <v>90</v>
      </c>
      <c r="F270">
        <v>74</v>
      </c>
      <c r="G270">
        <v>31</v>
      </c>
      <c r="H270">
        <v>38</v>
      </c>
      <c r="I270">
        <v>43</v>
      </c>
      <c r="J270" t="s">
        <v>3747</v>
      </c>
    </row>
    <row r="271" spans="1:10" x14ac:dyDescent="0.2">
      <c r="A271" t="s">
        <v>3851</v>
      </c>
      <c r="B271">
        <v>654</v>
      </c>
      <c r="C271">
        <v>41</v>
      </c>
      <c r="D271">
        <v>-2</v>
      </c>
      <c r="E271">
        <v>91</v>
      </c>
      <c r="F271">
        <v>75</v>
      </c>
      <c r="G271">
        <v>36</v>
      </c>
      <c r="H271">
        <v>43</v>
      </c>
      <c r="I271">
        <v>49</v>
      </c>
      <c r="J271" t="s">
        <v>3747</v>
      </c>
    </row>
    <row r="272" spans="1:10" x14ac:dyDescent="0.2">
      <c r="A272" t="s">
        <v>3852</v>
      </c>
      <c r="B272">
        <v>705</v>
      </c>
      <c r="C272">
        <v>40</v>
      </c>
      <c r="D272">
        <v>0</v>
      </c>
      <c r="E272">
        <v>92</v>
      </c>
      <c r="F272">
        <v>76</v>
      </c>
      <c r="G272">
        <v>41</v>
      </c>
      <c r="H272">
        <v>48</v>
      </c>
      <c r="I272">
        <v>54</v>
      </c>
      <c r="J272" t="s">
        <v>3747</v>
      </c>
    </row>
    <row r="273" spans="1:10" x14ac:dyDescent="0.2">
      <c r="A273" t="s">
        <v>3853</v>
      </c>
      <c r="B273">
        <v>738</v>
      </c>
      <c r="C273">
        <v>41</v>
      </c>
      <c r="D273">
        <v>1</v>
      </c>
      <c r="E273">
        <v>89</v>
      </c>
      <c r="F273">
        <v>73</v>
      </c>
      <c r="G273">
        <v>27</v>
      </c>
      <c r="H273">
        <v>34</v>
      </c>
      <c r="I273">
        <v>40</v>
      </c>
      <c r="J273" t="s">
        <v>3747</v>
      </c>
    </row>
    <row r="274" spans="1:10" x14ac:dyDescent="0.2">
      <c r="A274" t="s">
        <v>3854</v>
      </c>
      <c r="B274">
        <v>590</v>
      </c>
      <c r="C274">
        <v>41</v>
      </c>
      <c r="D274">
        <v>-3</v>
      </c>
      <c r="E274">
        <v>90</v>
      </c>
      <c r="F274">
        <v>74</v>
      </c>
      <c r="G274">
        <v>31</v>
      </c>
      <c r="H274">
        <v>38</v>
      </c>
      <c r="I274">
        <v>43</v>
      </c>
      <c r="J274" t="s">
        <v>3747</v>
      </c>
    </row>
    <row r="275" spans="1:10" x14ac:dyDescent="0.2">
      <c r="A275" t="s">
        <v>3855</v>
      </c>
      <c r="B275">
        <v>480</v>
      </c>
      <c r="C275">
        <v>38</v>
      </c>
      <c r="D275">
        <v>5</v>
      </c>
      <c r="E275">
        <v>92</v>
      </c>
      <c r="F275">
        <v>75</v>
      </c>
      <c r="G275">
        <v>34</v>
      </c>
      <c r="H275">
        <v>41</v>
      </c>
      <c r="I275">
        <v>47</v>
      </c>
      <c r="J275" t="s">
        <v>3747</v>
      </c>
    </row>
    <row r="276" spans="1:10" x14ac:dyDescent="0.2">
      <c r="A276" t="s">
        <v>3856</v>
      </c>
      <c r="B276">
        <v>663</v>
      </c>
      <c r="C276">
        <v>40</v>
      </c>
      <c r="D276">
        <v>-1</v>
      </c>
      <c r="E276">
        <v>89</v>
      </c>
      <c r="F276">
        <v>74</v>
      </c>
      <c r="G276">
        <v>33</v>
      </c>
      <c r="H276">
        <v>40</v>
      </c>
      <c r="I276">
        <v>46</v>
      </c>
      <c r="J276" t="s">
        <v>3747</v>
      </c>
    </row>
    <row r="277" spans="1:10" x14ac:dyDescent="0.2">
      <c r="A277" t="s">
        <v>3857</v>
      </c>
      <c r="B277">
        <v>768</v>
      </c>
      <c r="C277">
        <v>40</v>
      </c>
      <c r="D277">
        <v>2</v>
      </c>
      <c r="E277">
        <v>91</v>
      </c>
      <c r="F277">
        <v>75</v>
      </c>
      <c r="G277">
        <v>36</v>
      </c>
      <c r="H277">
        <v>43</v>
      </c>
      <c r="I277">
        <v>49</v>
      </c>
      <c r="J277" t="s">
        <v>3747</v>
      </c>
    </row>
    <row r="278" spans="1:10" x14ac:dyDescent="0.2">
      <c r="A278" t="s">
        <v>3858</v>
      </c>
      <c r="B278">
        <v>737</v>
      </c>
      <c r="C278">
        <v>40</v>
      </c>
      <c r="D278">
        <v>1</v>
      </c>
      <c r="E278">
        <v>91</v>
      </c>
      <c r="F278">
        <v>74</v>
      </c>
      <c r="G278">
        <v>30</v>
      </c>
      <c r="H278">
        <v>37</v>
      </c>
      <c r="I278">
        <v>42</v>
      </c>
      <c r="J278" t="s">
        <v>3747</v>
      </c>
    </row>
    <row r="279" spans="1:10" x14ac:dyDescent="0.2">
      <c r="A279" t="s">
        <v>2480</v>
      </c>
      <c r="B279">
        <v>741</v>
      </c>
      <c r="C279">
        <v>42</v>
      </c>
      <c r="D279">
        <v>-4</v>
      </c>
      <c r="E279">
        <v>88</v>
      </c>
      <c r="F279">
        <v>73</v>
      </c>
      <c r="G279">
        <v>29</v>
      </c>
      <c r="H279">
        <v>36</v>
      </c>
      <c r="I279">
        <v>41</v>
      </c>
      <c r="J279" t="s">
        <v>3747</v>
      </c>
    </row>
    <row r="280" spans="1:10" x14ac:dyDescent="0.2">
      <c r="A280" t="s">
        <v>2481</v>
      </c>
      <c r="B280">
        <v>641</v>
      </c>
      <c r="C280">
        <v>39</v>
      </c>
      <c r="D280">
        <v>2</v>
      </c>
      <c r="E280">
        <v>91</v>
      </c>
      <c r="F280">
        <v>75</v>
      </c>
      <c r="G280">
        <v>36</v>
      </c>
      <c r="H280">
        <v>43</v>
      </c>
      <c r="I280">
        <v>49</v>
      </c>
      <c r="J280" t="s">
        <v>3747</v>
      </c>
    </row>
    <row r="281" spans="1:10" x14ac:dyDescent="0.2">
      <c r="A281" t="s">
        <v>2482</v>
      </c>
      <c r="B281">
        <v>727</v>
      </c>
      <c r="C281">
        <v>42</v>
      </c>
      <c r="D281">
        <v>-3</v>
      </c>
      <c r="E281">
        <v>89</v>
      </c>
      <c r="F281">
        <v>74</v>
      </c>
      <c r="G281">
        <v>33</v>
      </c>
      <c r="H281">
        <v>40</v>
      </c>
      <c r="I281">
        <v>46</v>
      </c>
      <c r="J281" t="s">
        <v>3747</v>
      </c>
    </row>
    <row r="282" spans="1:10" x14ac:dyDescent="0.2">
      <c r="A282" t="s">
        <v>2483</v>
      </c>
      <c r="B282">
        <v>758</v>
      </c>
      <c r="C282">
        <v>41</v>
      </c>
      <c r="D282">
        <v>0</v>
      </c>
      <c r="E282">
        <v>88</v>
      </c>
      <c r="F282">
        <v>74</v>
      </c>
      <c r="G282">
        <v>35</v>
      </c>
      <c r="H282">
        <v>42</v>
      </c>
      <c r="I282">
        <v>48</v>
      </c>
      <c r="J282" t="s">
        <v>3747</v>
      </c>
    </row>
    <row r="283" spans="1:10" x14ac:dyDescent="0.2">
      <c r="A283" t="s">
        <v>2484</v>
      </c>
      <c r="B283">
        <v>919</v>
      </c>
      <c r="C283">
        <v>40</v>
      </c>
      <c r="D283">
        <v>6</v>
      </c>
      <c r="E283">
        <v>92</v>
      </c>
      <c r="F283">
        <v>75</v>
      </c>
      <c r="G283">
        <v>34</v>
      </c>
      <c r="H283">
        <v>41</v>
      </c>
      <c r="I283">
        <v>47</v>
      </c>
      <c r="J283" t="s">
        <v>3747</v>
      </c>
    </row>
    <row r="284" spans="1:10" x14ac:dyDescent="0.2">
      <c r="A284" t="s">
        <v>2485</v>
      </c>
      <c r="B284">
        <v>728</v>
      </c>
      <c r="C284">
        <v>38</v>
      </c>
      <c r="D284">
        <v>5</v>
      </c>
      <c r="E284">
        <v>92</v>
      </c>
      <c r="F284">
        <v>75</v>
      </c>
      <c r="G284">
        <v>34</v>
      </c>
      <c r="H284">
        <v>41</v>
      </c>
      <c r="I284">
        <v>47</v>
      </c>
      <c r="J284" t="s">
        <v>3747</v>
      </c>
    </row>
    <row r="285" spans="1:10" x14ac:dyDescent="0.2">
      <c r="A285" t="s">
        <v>2486</v>
      </c>
      <c r="B285">
        <v>846</v>
      </c>
      <c r="C285">
        <v>39</v>
      </c>
      <c r="D285">
        <v>5</v>
      </c>
      <c r="E285">
        <v>92</v>
      </c>
      <c r="F285">
        <v>75</v>
      </c>
      <c r="G285">
        <v>34</v>
      </c>
      <c r="H285">
        <v>41</v>
      </c>
      <c r="I285">
        <v>47</v>
      </c>
      <c r="J285" t="s">
        <v>3747</v>
      </c>
    </row>
    <row r="286" spans="1:10" x14ac:dyDescent="0.2">
      <c r="A286" t="s">
        <v>2487</v>
      </c>
      <c r="B286">
        <v>656</v>
      </c>
      <c r="C286">
        <v>39</v>
      </c>
      <c r="D286">
        <v>7</v>
      </c>
      <c r="E286">
        <v>92</v>
      </c>
      <c r="F286">
        <v>75</v>
      </c>
      <c r="G286">
        <v>34</v>
      </c>
      <c r="H286">
        <v>41</v>
      </c>
      <c r="I286">
        <v>47</v>
      </c>
      <c r="J286" t="s">
        <v>3747</v>
      </c>
    </row>
    <row r="287" spans="1:10" x14ac:dyDescent="0.2">
      <c r="A287" t="s">
        <v>2488</v>
      </c>
      <c r="B287">
        <v>799</v>
      </c>
      <c r="C287">
        <v>40</v>
      </c>
      <c r="D287">
        <v>3</v>
      </c>
      <c r="E287">
        <v>91</v>
      </c>
      <c r="F287">
        <v>74</v>
      </c>
      <c r="G287">
        <v>30</v>
      </c>
      <c r="H287">
        <v>37</v>
      </c>
      <c r="I287">
        <v>43</v>
      </c>
      <c r="J287" t="s">
        <v>3747</v>
      </c>
    </row>
    <row r="288" spans="1:10" x14ac:dyDescent="0.2">
      <c r="A288" t="s">
        <v>2489</v>
      </c>
      <c r="B288">
        <v>387</v>
      </c>
      <c r="C288">
        <v>38</v>
      </c>
      <c r="D288">
        <v>9</v>
      </c>
      <c r="E288">
        <v>92</v>
      </c>
      <c r="F288">
        <v>76</v>
      </c>
      <c r="G288">
        <v>41</v>
      </c>
      <c r="H288">
        <v>48</v>
      </c>
      <c r="I288">
        <v>54</v>
      </c>
      <c r="J288" t="s">
        <v>3747</v>
      </c>
    </row>
    <row r="289" spans="1:10" x14ac:dyDescent="0.2">
      <c r="A289" t="s">
        <v>2490</v>
      </c>
      <c r="B289">
        <v>815</v>
      </c>
      <c r="C289">
        <v>41</v>
      </c>
      <c r="D289">
        <v>2</v>
      </c>
      <c r="E289">
        <v>88</v>
      </c>
      <c r="F289">
        <v>73</v>
      </c>
      <c r="G289">
        <v>29</v>
      </c>
      <c r="H289">
        <v>36</v>
      </c>
      <c r="I289">
        <v>42</v>
      </c>
      <c r="J289" t="s">
        <v>3747</v>
      </c>
    </row>
    <row r="290" spans="1:10" x14ac:dyDescent="0.2">
      <c r="A290" t="s">
        <v>2491</v>
      </c>
      <c r="B290">
        <v>827</v>
      </c>
      <c r="C290">
        <v>41</v>
      </c>
      <c r="D290">
        <v>1</v>
      </c>
      <c r="E290">
        <v>89</v>
      </c>
      <c r="F290">
        <v>73</v>
      </c>
      <c r="G290">
        <v>27</v>
      </c>
      <c r="H290">
        <v>34</v>
      </c>
      <c r="I290">
        <v>40</v>
      </c>
      <c r="J290" t="s">
        <v>3747</v>
      </c>
    </row>
    <row r="291" spans="1:10" x14ac:dyDescent="0.2">
      <c r="A291" t="s">
        <v>2492</v>
      </c>
      <c r="B291">
        <v>644</v>
      </c>
      <c r="C291">
        <v>41</v>
      </c>
      <c r="D291">
        <v>2</v>
      </c>
      <c r="E291">
        <v>88</v>
      </c>
      <c r="F291">
        <v>73</v>
      </c>
      <c r="G291">
        <v>29</v>
      </c>
      <c r="H291">
        <v>36</v>
      </c>
      <c r="I291">
        <v>42</v>
      </c>
      <c r="J291" t="s">
        <v>3747</v>
      </c>
    </row>
    <row r="292" spans="1:10" x14ac:dyDescent="0.2">
      <c r="A292" t="s">
        <v>2493</v>
      </c>
      <c r="B292">
        <v>806</v>
      </c>
      <c r="C292">
        <v>40</v>
      </c>
      <c r="D292">
        <v>1</v>
      </c>
      <c r="E292">
        <v>89</v>
      </c>
      <c r="F292">
        <v>72</v>
      </c>
      <c r="G292">
        <v>21</v>
      </c>
      <c r="H292">
        <v>28</v>
      </c>
      <c r="I292">
        <v>34</v>
      </c>
      <c r="J292" t="s">
        <v>3747</v>
      </c>
    </row>
    <row r="293" spans="1:10" x14ac:dyDescent="0.2">
      <c r="A293" t="s">
        <v>2494</v>
      </c>
      <c r="B293">
        <v>807</v>
      </c>
      <c r="C293">
        <v>39</v>
      </c>
      <c r="D293">
        <v>3</v>
      </c>
      <c r="E293">
        <v>88</v>
      </c>
      <c r="F293">
        <v>74</v>
      </c>
      <c r="G293">
        <v>35</v>
      </c>
      <c r="H293">
        <v>42</v>
      </c>
      <c r="I293">
        <v>48</v>
      </c>
      <c r="J293" t="s">
        <v>3747</v>
      </c>
    </row>
    <row r="294" spans="1:10" x14ac:dyDescent="0.2">
      <c r="A294" t="s">
        <v>2495</v>
      </c>
      <c r="B294">
        <v>474</v>
      </c>
      <c r="C294">
        <v>38</v>
      </c>
      <c r="D294">
        <v>10</v>
      </c>
      <c r="E294">
        <v>93</v>
      </c>
      <c r="F294">
        <v>74</v>
      </c>
      <c r="G294">
        <v>27</v>
      </c>
      <c r="H294">
        <v>34</v>
      </c>
      <c r="I294">
        <v>40</v>
      </c>
      <c r="J294" t="s">
        <v>3747</v>
      </c>
    </row>
    <row r="295" spans="1:10" x14ac:dyDescent="0.2">
      <c r="A295" t="s">
        <v>2496</v>
      </c>
      <c r="B295">
        <v>830</v>
      </c>
      <c r="C295">
        <v>40</v>
      </c>
      <c r="D295">
        <v>0</v>
      </c>
      <c r="E295">
        <v>90</v>
      </c>
      <c r="F295">
        <v>73</v>
      </c>
      <c r="G295">
        <v>25</v>
      </c>
      <c r="H295">
        <v>32</v>
      </c>
      <c r="I295">
        <v>38</v>
      </c>
      <c r="J295" t="s">
        <v>3747</v>
      </c>
    </row>
    <row r="296" spans="1:10" x14ac:dyDescent="0.2">
      <c r="A296" t="s">
        <v>2497</v>
      </c>
      <c r="B296">
        <v>607</v>
      </c>
      <c r="C296">
        <v>40</v>
      </c>
      <c r="D296">
        <v>3</v>
      </c>
      <c r="E296">
        <v>90</v>
      </c>
      <c r="F296">
        <v>75</v>
      </c>
      <c r="G296">
        <v>38</v>
      </c>
      <c r="H296">
        <v>45</v>
      </c>
      <c r="I296">
        <v>51</v>
      </c>
      <c r="J296" t="s">
        <v>3747</v>
      </c>
    </row>
    <row r="297" spans="1:10" x14ac:dyDescent="0.2">
      <c r="A297" t="s">
        <v>2498</v>
      </c>
      <c r="B297">
        <v>812</v>
      </c>
      <c r="C297">
        <v>41</v>
      </c>
      <c r="D297">
        <v>3</v>
      </c>
      <c r="E297">
        <v>90</v>
      </c>
      <c r="F297">
        <v>74</v>
      </c>
      <c r="G297">
        <v>31</v>
      </c>
      <c r="H297">
        <v>38</v>
      </c>
      <c r="I297">
        <v>44</v>
      </c>
      <c r="J297" t="s">
        <v>3747</v>
      </c>
    </row>
    <row r="298" spans="1:10" x14ac:dyDescent="0.2">
      <c r="A298" t="s">
        <v>2499</v>
      </c>
      <c r="B298">
        <v>859</v>
      </c>
      <c r="C298">
        <v>40</v>
      </c>
      <c r="D298">
        <v>0</v>
      </c>
      <c r="E298">
        <v>90</v>
      </c>
      <c r="F298">
        <v>73</v>
      </c>
      <c r="G298">
        <v>31</v>
      </c>
      <c r="H298">
        <v>38</v>
      </c>
      <c r="I298">
        <v>44</v>
      </c>
      <c r="J298" t="s">
        <v>3747</v>
      </c>
    </row>
    <row r="299" spans="1:10" x14ac:dyDescent="0.2">
      <c r="A299" t="s">
        <v>2500</v>
      </c>
      <c r="B299">
        <v>937</v>
      </c>
      <c r="C299">
        <v>40</v>
      </c>
      <c r="D299">
        <v>2</v>
      </c>
      <c r="E299">
        <v>90</v>
      </c>
      <c r="F299">
        <v>73</v>
      </c>
      <c r="G299">
        <v>25</v>
      </c>
      <c r="H299">
        <v>32</v>
      </c>
      <c r="I299">
        <v>38</v>
      </c>
      <c r="J299" t="s">
        <v>3747</v>
      </c>
    </row>
    <row r="300" spans="1:10" x14ac:dyDescent="0.2">
      <c r="A300" t="s">
        <v>2501</v>
      </c>
      <c r="B300">
        <v>737</v>
      </c>
      <c r="C300">
        <v>40</v>
      </c>
      <c r="D300">
        <v>-1</v>
      </c>
      <c r="E300">
        <v>88</v>
      </c>
      <c r="F300">
        <v>73</v>
      </c>
      <c r="G300">
        <v>29</v>
      </c>
      <c r="H300">
        <v>36</v>
      </c>
      <c r="I300">
        <v>42</v>
      </c>
      <c r="J300" t="s">
        <v>3747</v>
      </c>
    </row>
    <row r="301" spans="1:10" x14ac:dyDescent="0.2">
      <c r="A301" t="s">
        <v>534</v>
      </c>
      <c r="B301">
        <v>810</v>
      </c>
      <c r="C301">
        <v>40</v>
      </c>
      <c r="D301">
        <v>4</v>
      </c>
      <c r="E301">
        <v>89</v>
      </c>
      <c r="F301">
        <v>75</v>
      </c>
      <c r="G301">
        <v>39</v>
      </c>
      <c r="H301">
        <v>46</v>
      </c>
      <c r="I301">
        <v>52</v>
      </c>
      <c r="J301" t="s">
        <v>3747</v>
      </c>
    </row>
    <row r="302" spans="1:10" x14ac:dyDescent="0.2">
      <c r="A302" t="s">
        <v>535</v>
      </c>
      <c r="B302">
        <v>1140</v>
      </c>
      <c r="C302">
        <v>39</v>
      </c>
      <c r="D302">
        <v>2</v>
      </c>
      <c r="E302">
        <v>90</v>
      </c>
      <c r="F302">
        <v>74</v>
      </c>
      <c r="G302">
        <v>31</v>
      </c>
      <c r="H302">
        <v>48</v>
      </c>
      <c r="I302">
        <v>44</v>
      </c>
      <c r="J302" t="s">
        <v>3747</v>
      </c>
    </row>
    <row r="303" spans="1:10" x14ac:dyDescent="0.2">
      <c r="A303" t="s">
        <v>536</v>
      </c>
      <c r="B303">
        <v>804</v>
      </c>
      <c r="C303">
        <v>39</v>
      </c>
      <c r="D303">
        <v>3</v>
      </c>
      <c r="E303">
        <v>91</v>
      </c>
      <c r="F303">
        <v>74</v>
      </c>
      <c r="G303">
        <v>30</v>
      </c>
      <c r="H303">
        <v>37</v>
      </c>
      <c r="I303">
        <v>43</v>
      </c>
      <c r="J303" t="s">
        <v>3747</v>
      </c>
    </row>
    <row r="304" spans="1:10" x14ac:dyDescent="0.2">
      <c r="A304" t="s">
        <v>537</v>
      </c>
      <c r="B304">
        <v>774</v>
      </c>
      <c r="C304">
        <v>41</v>
      </c>
      <c r="D304">
        <v>3</v>
      </c>
      <c r="E304">
        <v>87</v>
      </c>
      <c r="F304">
        <v>72</v>
      </c>
      <c r="G304">
        <v>24</v>
      </c>
      <c r="H304">
        <v>31</v>
      </c>
      <c r="I304">
        <v>32</v>
      </c>
      <c r="J304" t="s">
        <v>3747</v>
      </c>
    </row>
    <row r="305" spans="1:10" x14ac:dyDescent="0.2">
      <c r="A305" t="s">
        <v>538</v>
      </c>
      <c r="B305">
        <v>585</v>
      </c>
      <c r="C305">
        <v>39</v>
      </c>
      <c r="D305">
        <v>5</v>
      </c>
      <c r="E305">
        <v>90</v>
      </c>
      <c r="F305">
        <v>76</v>
      </c>
      <c r="G305">
        <v>44</v>
      </c>
      <c r="H305">
        <v>51</v>
      </c>
      <c r="I305">
        <v>57</v>
      </c>
      <c r="J305" t="s">
        <v>3747</v>
      </c>
    </row>
    <row r="306" spans="1:10" x14ac:dyDescent="0.2">
      <c r="A306" t="s">
        <v>539</v>
      </c>
      <c r="B306">
        <v>771</v>
      </c>
      <c r="C306">
        <v>41</v>
      </c>
      <c r="D306">
        <v>3</v>
      </c>
      <c r="E306">
        <v>90</v>
      </c>
      <c r="F306">
        <v>74</v>
      </c>
      <c r="G306">
        <v>31</v>
      </c>
      <c r="H306">
        <v>38</v>
      </c>
      <c r="I306">
        <v>44</v>
      </c>
      <c r="J306" t="s">
        <v>3747</v>
      </c>
    </row>
    <row r="307" spans="1:10" x14ac:dyDescent="0.2">
      <c r="A307" t="s">
        <v>540</v>
      </c>
      <c r="B307">
        <v>414</v>
      </c>
      <c r="C307">
        <v>38</v>
      </c>
      <c r="D307">
        <v>6</v>
      </c>
      <c r="E307">
        <v>92</v>
      </c>
      <c r="F307">
        <v>74</v>
      </c>
      <c r="G307">
        <v>28</v>
      </c>
      <c r="H307">
        <v>30</v>
      </c>
      <c r="I307">
        <v>41</v>
      </c>
      <c r="J307" t="s">
        <v>3747</v>
      </c>
    </row>
    <row r="308" spans="1:10" x14ac:dyDescent="0.2">
      <c r="A308" t="s">
        <v>541</v>
      </c>
      <c r="B308">
        <v>955</v>
      </c>
      <c r="C308">
        <v>42</v>
      </c>
      <c r="D308">
        <v>-6</v>
      </c>
      <c r="E308">
        <v>90</v>
      </c>
      <c r="F308">
        <v>74</v>
      </c>
      <c r="G308">
        <v>31</v>
      </c>
      <c r="H308">
        <v>38</v>
      </c>
      <c r="I308">
        <v>44</v>
      </c>
      <c r="J308" t="s">
        <v>3747</v>
      </c>
    </row>
    <row r="309" spans="1:10" x14ac:dyDescent="0.2">
      <c r="A309" t="s">
        <v>542</v>
      </c>
      <c r="B309">
        <v>692</v>
      </c>
      <c r="C309">
        <v>40</v>
      </c>
      <c r="D309">
        <v>1</v>
      </c>
      <c r="E309">
        <v>91</v>
      </c>
      <c r="F309">
        <v>76</v>
      </c>
      <c r="G309">
        <v>42</v>
      </c>
      <c r="H309">
        <v>49</v>
      </c>
      <c r="I309">
        <v>55</v>
      </c>
      <c r="J309" t="s">
        <v>3747</v>
      </c>
    </row>
    <row r="310" spans="1:10" x14ac:dyDescent="0.2">
      <c r="A310" t="s">
        <v>543</v>
      </c>
      <c r="B310">
        <v>863</v>
      </c>
      <c r="C310">
        <v>41</v>
      </c>
      <c r="D310">
        <v>-5</v>
      </c>
      <c r="E310">
        <v>89</v>
      </c>
      <c r="F310">
        <v>74</v>
      </c>
      <c r="G310">
        <v>33</v>
      </c>
      <c r="H310">
        <v>40</v>
      </c>
      <c r="I310">
        <v>46</v>
      </c>
      <c r="J310" t="s">
        <v>3747</v>
      </c>
    </row>
    <row r="311" spans="1:10" x14ac:dyDescent="0.2">
      <c r="A311" t="s">
        <v>544</v>
      </c>
      <c r="B311">
        <v>708</v>
      </c>
      <c r="C311">
        <v>41</v>
      </c>
      <c r="D311">
        <v>-3</v>
      </c>
      <c r="E311">
        <v>90</v>
      </c>
      <c r="F311">
        <v>75</v>
      </c>
      <c r="G311">
        <v>38</v>
      </c>
      <c r="H311">
        <v>45</v>
      </c>
      <c r="I311">
        <v>51</v>
      </c>
      <c r="J311" t="s">
        <v>3747</v>
      </c>
    </row>
    <row r="312" spans="1:10" x14ac:dyDescent="0.2">
      <c r="A312" t="s">
        <v>545</v>
      </c>
      <c r="B312">
        <v>1253</v>
      </c>
      <c r="C312">
        <v>41</v>
      </c>
      <c r="D312">
        <v>-3</v>
      </c>
      <c r="E312">
        <v>91</v>
      </c>
      <c r="F312">
        <v>75</v>
      </c>
      <c r="G312">
        <v>36</v>
      </c>
      <c r="H312">
        <v>43</v>
      </c>
      <c r="I312">
        <v>49</v>
      </c>
      <c r="J312" t="s">
        <v>3747</v>
      </c>
    </row>
    <row r="313" spans="1:10" x14ac:dyDescent="0.2">
      <c r="A313" t="s">
        <v>546</v>
      </c>
      <c r="B313">
        <v>938</v>
      </c>
      <c r="C313">
        <v>41</v>
      </c>
      <c r="D313">
        <v>-4</v>
      </c>
      <c r="E313">
        <v>90</v>
      </c>
      <c r="F313">
        <v>74</v>
      </c>
      <c r="G313">
        <v>31</v>
      </c>
      <c r="H313">
        <v>38</v>
      </c>
      <c r="I313">
        <v>44</v>
      </c>
      <c r="J313" t="s">
        <v>3747</v>
      </c>
    </row>
    <row r="314" spans="1:10" x14ac:dyDescent="0.2">
      <c r="A314" t="s">
        <v>547</v>
      </c>
      <c r="B314">
        <v>1056</v>
      </c>
      <c r="C314">
        <v>42</v>
      </c>
      <c r="D314">
        <v>-7</v>
      </c>
      <c r="E314">
        <v>88</v>
      </c>
      <c r="F314">
        <v>73</v>
      </c>
      <c r="G314">
        <v>29</v>
      </c>
      <c r="H314">
        <v>36</v>
      </c>
      <c r="I314">
        <v>42</v>
      </c>
      <c r="J314" t="s">
        <v>3747</v>
      </c>
    </row>
    <row r="315" spans="1:10" x14ac:dyDescent="0.2">
      <c r="A315" t="s">
        <v>548</v>
      </c>
      <c r="B315">
        <v>1162</v>
      </c>
      <c r="C315">
        <v>42</v>
      </c>
      <c r="D315">
        <v>-7</v>
      </c>
      <c r="E315">
        <v>88</v>
      </c>
      <c r="F315">
        <v>73</v>
      </c>
      <c r="G315">
        <v>29</v>
      </c>
      <c r="H315">
        <v>36</v>
      </c>
      <c r="I315">
        <v>42</v>
      </c>
      <c r="J315" t="s">
        <v>3747</v>
      </c>
    </row>
    <row r="316" spans="1:10" x14ac:dyDescent="0.2">
      <c r="A316" t="s">
        <v>549</v>
      </c>
      <c r="B316">
        <v>661</v>
      </c>
      <c r="C316">
        <v>41</v>
      </c>
      <c r="D316">
        <v>-6</v>
      </c>
      <c r="E316">
        <v>89</v>
      </c>
      <c r="F316">
        <v>76</v>
      </c>
      <c r="G316">
        <v>46</v>
      </c>
      <c r="H316">
        <v>53</v>
      </c>
      <c r="I316">
        <v>59</v>
      </c>
      <c r="J316" t="s">
        <v>3747</v>
      </c>
    </row>
    <row r="317" spans="1:10" x14ac:dyDescent="0.2">
      <c r="A317" t="s">
        <v>550</v>
      </c>
      <c r="B317">
        <v>671</v>
      </c>
      <c r="C317">
        <v>40</v>
      </c>
      <c r="D317">
        <v>0</v>
      </c>
      <c r="E317">
        <v>92</v>
      </c>
      <c r="F317">
        <v>75</v>
      </c>
      <c r="G317">
        <v>34</v>
      </c>
      <c r="H317">
        <v>41</v>
      </c>
      <c r="I317">
        <v>47</v>
      </c>
      <c r="J317" t="s">
        <v>3747</v>
      </c>
    </row>
    <row r="318" spans="1:10" x14ac:dyDescent="0.2">
      <c r="A318" t="s">
        <v>551</v>
      </c>
      <c r="B318">
        <v>1122</v>
      </c>
      <c r="C318">
        <v>40</v>
      </c>
      <c r="D318">
        <v>0</v>
      </c>
      <c r="E318">
        <v>92</v>
      </c>
      <c r="F318">
        <v>74</v>
      </c>
      <c r="G318">
        <v>28</v>
      </c>
      <c r="H318">
        <v>35</v>
      </c>
      <c r="I318">
        <v>45</v>
      </c>
      <c r="J318" t="s">
        <v>3747</v>
      </c>
    </row>
    <row r="319" spans="1:10" x14ac:dyDescent="0.2">
      <c r="A319" t="s">
        <v>552</v>
      </c>
      <c r="B319">
        <v>974</v>
      </c>
      <c r="C319">
        <v>42</v>
      </c>
      <c r="D319">
        <v>-7</v>
      </c>
      <c r="E319">
        <v>90</v>
      </c>
      <c r="F319">
        <v>75</v>
      </c>
      <c r="G319">
        <v>38</v>
      </c>
      <c r="H319">
        <v>45</v>
      </c>
      <c r="I319">
        <v>51</v>
      </c>
      <c r="J319" t="s">
        <v>3747</v>
      </c>
    </row>
    <row r="320" spans="1:10" x14ac:dyDescent="0.2">
      <c r="A320" t="s">
        <v>553</v>
      </c>
      <c r="B320">
        <v>1213</v>
      </c>
      <c r="C320">
        <v>43</v>
      </c>
      <c r="D320">
        <v>-10</v>
      </c>
      <c r="E320">
        <v>88</v>
      </c>
      <c r="F320">
        <v>73</v>
      </c>
      <c r="G320">
        <v>29</v>
      </c>
      <c r="H320">
        <v>36</v>
      </c>
      <c r="I320">
        <v>42</v>
      </c>
      <c r="J320" t="s">
        <v>3747</v>
      </c>
    </row>
    <row r="321" spans="1:10" x14ac:dyDescent="0.2">
      <c r="A321" t="s">
        <v>554</v>
      </c>
      <c r="B321">
        <v>953</v>
      </c>
      <c r="C321">
        <v>41</v>
      </c>
      <c r="D321">
        <v>-5</v>
      </c>
      <c r="E321">
        <v>91</v>
      </c>
      <c r="F321">
        <v>74</v>
      </c>
      <c r="G321">
        <v>30</v>
      </c>
      <c r="H321">
        <v>37</v>
      </c>
      <c r="I321">
        <v>43</v>
      </c>
      <c r="J321" t="s">
        <v>3747</v>
      </c>
    </row>
    <row r="322" spans="1:10" x14ac:dyDescent="0.2">
      <c r="A322" t="s">
        <v>555</v>
      </c>
      <c r="B322">
        <v>846</v>
      </c>
      <c r="C322">
        <v>41</v>
      </c>
      <c r="D322">
        <v>0</v>
      </c>
      <c r="E322">
        <v>92</v>
      </c>
      <c r="F322">
        <v>75</v>
      </c>
      <c r="G322">
        <v>34</v>
      </c>
      <c r="H322">
        <v>41</v>
      </c>
      <c r="I322">
        <v>47</v>
      </c>
      <c r="J322" t="s">
        <v>3747</v>
      </c>
    </row>
    <row r="323" spans="1:10" x14ac:dyDescent="0.2">
      <c r="A323" t="s">
        <v>556</v>
      </c>
      <c r="B323">
        <v>1095</v>
      </c>
      <c r="C323">
        <v>42</v>
      </c>
      <c r="D323">
        <v>-6</v>
      </c>
      <c r="E323">
        <v>90</v>
      </c>
      <c r="F323">
        <v>74</v>
      </c>
      <c r="G323">
        <v>31</v>
      </c>
      <c r="H323">
        <v>38</v>
      </c>
      <c r="I323">
        <v>44</v>
      </c>
      <c r="J323" t="s">
        <v>3747</v>
      </c>
    </row>
    <row r="324" spans="1:10" x14ac:dyDescent="0.2">
      <c r="A324" t="s">
        <v>557</v>
      </c>
      <c r="B324">
        <v>1339</v>
      </c>
      <c r="C324">
        <v>43</v>
      </c>
      <c r="D324">
        <v>-11</v>
      </c>
      <c r="E324">
        <v>88</v>
      </c>
      <c r="F324">
        <v>73</v>
      </c>
      <c r="G324">
        <v>29</v>
      </c>
      <c r="H324">
        <v>36</v>
      </c>
      <c r="I324">
        <v>41</v>
      </c>
      <c r="J324" t="s">
        <v>3747</v>
      </c>
    </row>
    <row r="325" spans="1:10" x14ac:dyDescent="0.2">
      <c r="A325" t="s">
        <v>558</v>
      </c>
      <c r="B325">
        <v>868</v>
      </c>
      <c r="C325">
        <v>42</v>
      </c>
      <c r="D325">
        <v>-9</v>
      </c>
      <c r="E325">
        <v>88</v>
      </c>
      <c r="F325">
        <v>73</v>
      </c>
      <c r="G325">
        <v>29</v>
      </c>
      <c r="H325">
        <v>36</v>
      </c>
      <c r="I325">
        <v>41</v>
      </c>
      <c r="J325" t="s">
        <v>3747</v>
      </c>
    </row>
    <row r="326" spans="1:10" x14ac:dyDescent="0.2">
      <c r="A326" t="s">
        <v>559</v>
      </c>
      <c r="B326">
        <v>1073</v>
      </c>
      <c r="C326">
        <v>39</v>
      </c>
      <c r="D326">
        <v>2</v>
      </c>
      <c r="E326">
        <v>93</v>
      </c>
      <c r="F326">
        <v>76</v>
      </c>
      <c r="G326">
        <v>39</v>
      </c>
      <c r="H326">
        <v>46</v>
      </c>
      <c r="I326">
        <v>52</v>
      </c>
      <c r="J326" t="s">
        <v>3747</v>
      </c>
    </row>
    <row r="327" spans="1:10" x14ac:dyDescent="0.2">
      <c r="A327" t="s">
        <v>560</v>
      </c>
      <c r="B327">
        <v>981</v>
      </c>
      <c r="C327">
        <v>34</v>
      </c>
      <c r="D327">
        <v>7</v>
      </c>
      <c r="E327">
        <v>97</v>
      </c>
      <c r="F327">
        <v>74</v>
      </c>
      <c r="G327">
        <v>20</v>
      </c>
      <c r="H327">
        <v>27</v>
      </c>
      <c r="I327">
        <v>33</v>
      </c>
      <c r="J327" t="s">
        <v>3747</v>
      </c>
    </row>
    <row r="328" spans="1:10" x14ac:dyDescent="0.2">
      <c r="A328" t="s">
        <v>561</v>
      </c>
      <c r="B328">
        <v>1483</v>
      </c>
      <c r="C328">
        <v>39</v>
      </c>
      <c r="D328">
        <v>3</v>
      </c>
      <c r="E328">
        <v>96</v>
      </c>
      <c r="F328">
        <v>72</v>
      </c>
      <c r="G328">
        <v>10</v>
      </c>
      <c r="H328">
        <v>17</v>
      </c>
      <c r="I328">
        <v>23</v>
      </c>
      <c r="J328" t="s">
        <v>3747</v>
      </c>
    </row>
    <row r="329" spans="1:10" x14ac:dyDescent="0.2">
      <c r="A329" t="s">
        <v>562</v>
      </c>
      <c r="B329">
        <v>2582</v>
      </c>
      <c r="C329">
        <v>37</v>
      </c>
      <c r="D329">
        <v>6</v>
      </c>
      <c r="E329">
        <v>97</v>
      </c>
      <c r="F329">
        <v>70</v>
      </c>
      <c r="G329">
        <v>-3</v>
      </c>
      <c r="H329">
        <v>4</v>
      </c>
      <c r="I329">
        <v>10</v>
      </c>
      <c r="J329" t="s">
        <v>3747</v>
      </c>
    </row>
    <row r="330" spans="1:10" x14ac:dyDescent="0.2">
      <c r="A330" t="s">
        <v>563</v>
      </c>
      <c r="B330">
        <v>1378</v>
      </c>
      <c r="C330">
        <v>37</v>
      </c>
      <c r="D330">
        <v>7</v>
      </c>
      <c r="E330">
        <v>98</v>
      </c>
      <c r="F330">
        <v>73</v>
      </c>
      <c r="G330">
        <v>12</v>
      </c>
      <c r="H330">
        <v>19</v>
      </c>
      <c r="I330">
        <v>25</v>
      </c>
      <c r="J330" t="s">
        <v>3747</v>
      </c>
    </row>
    <row r="331" spans="1:10" x14ac:dyDescent="0.2">
      <c r="A331" t="s">
        <v>564</v>
      </c>
      <c r="B331">
        <v>1206</v>
      </c>
      <c r="C331">
        <v>38</v>
      </c>
      <c r="D331">
        <v>5</v>
      </c>
      <c r="E331">
        <v>97</v>
      </c>
      <c r="F331">
        <v>74</v>
      </c>
      <c r="G331">
        <v>20</v>
      </c>
      <c r="H331">
        <v>27</v>
      </c>
      <c r="I331">
        <v>33</v>
      </c>
      <c r="J331" t="s">
        <v>3747</v>
      </c>
    </row>
    <row r="332" spans="1:10" x14ac:dyDescent="0.2">
      <c r="A332" t="s">
        <v>565</v>
      </c>
      <c r="B332">
        <v>2890</v>
      </c>
      <c r="C332">
        <v>38</v>
      </c>
      <c r="D332">
        <v>4</v>
      </c>
      <c r="E332">
        <v>97</v>
      </c>
      <c r="F332">
        <v>69</v>
      </c>
      <c r="G332">
        <v>-9</v>
      </c>
      <c r="H332">
        <v>-2</v>
      </c>
      <c r="I332">
        <v>4</v>
      </c>
      <c r="J332" t="s">
        <v>831</v>
      </c>
    </row>
    <row r="333" spans="1:10" x14ac:dyDescent="0.2">
      <c r="A333" t="s">
        <v>566</v>
      </c>
      <c r="B333">
        <v>3654</v>
      </c>
      <c r="C333">
        <v>39</v>
      </c>
      <c r="D333">
        <v>2</v>
      </c>
      <c r="E333">
        <v>94</v>
      </c>
      <c r="F333">
        <v>66</v>
      </c>
      <c r="G333">
        <v>-17</v>
      </c>
      <c r="H333">
        <v>-10</v>
      </c>
      <c r="I333">
        <v>-4</v>
      </c>
      <c r="J333" t="s">
        <v>831</v>
      </c>
    </row>
    <row r="334" spans="1:10" x14ac:dyDescent="0.2">
      <c r="A334" t="s">
        <v>567</v>
      </c>
      <c r="B334">
        <v>1887</v>
      </c>
      <c r="C334">
        <v>38</v>
      </c>
      <c r="D334">
        <v>4</v>
      </c>
      <c r="E334">
        <v>98</v>
      </c>
      <c r="F334">
        <v>73</v>
      </c>
      <c r="G334">
        <v>12</v>
      </c>
      <c r="H334">
        <v>19</v>
      </c>
      <c r="I334">
        <v>25</v>
      </c>
      <c r="J334" t="s">
        <v>831</v>
      </c>
    </row>
    <row r="335" spans="1:10" x14ac:dyDescent="0.2">
      <c r="A335" t="s">
        <v>568</v>
      </c>
      <c r="B335">
        <v>1542</v>
      </c>
      <c r="C335">
        <v>38</v>
      </c>
      <c r="D335">
        <v>8</v>
      </c>
      <c r="E335">
        <v>99</v>
      </c>
      <c r="F335">
        <v>72</v>
      </c>
      <c r="G335">
        <v>5</v>
      </c>
      <c r="H335">
        <v>12</v>
      </c>
      <c r="I335">
        <v>18</v>
      </c>
      <c r="J335" t="s">
        <v>831</v>
      </c>
    </row>
    <row r="336" spans="1:10" x14ac:dyDescent="0.2">
      <c r="A336" t="s">
        <v>569</v>
      </c>
      <c r="B336">
        <v>2883</v>
      </c>
      <c r="C336">
        <v>37</v>
      </c>
      <c r="D336">
        <v>7</v>
      </c>
      <c r="E336">
        <v>96</v>
      </c>
      <c r="F336">
        <v>68</v>
      </c>
      <c r="G336">
        <v>-12</v>
      </c>
      <c r="H336">
        <v>-5</v>
      </c>
      <c r="I336">
        <v>1</v>
      </c>
      <c r="J336" t="s">
        <v>831</v>
      </c>
    </row>
    <row r="337" spans="1:10" x14ac:dyDescent="0.2">
      <c r="A337" t="s">
        <v>570</v>
      </c>
      <c r="B337">
        <v>1065</v>
      </c>
      <c r="C337">
        <v>39</v>
      </c>
      <c r="D337">
        <v>5</v>
      </c>
      <c r="E337">
        <v>96</v>
      </c>
      <c r="F337">
        <v>74</v>
      </c>
      <c r="G337">
        <v>22</v>
      </c>
      <c r="H337">
        <v>29</v>
      </c>
      <c r="I337">
        <v>35</v>
      </c>
      <c r="J337" t="s">
        <v>3747</v>
      </c>
    </row>
    <row r="338" spans="1:10" x14ac:dyDescent="0.2">
      <c r="A338" t="s">
        <v>571</v>
      </c>
      <c r="B338">
        <v>899</v>
      </c>
      <c r="C338">
        <v>37</v>
      </c>
      <c r="D338">
        <v>9</v>
      </c>
      <c r="E338">
        <v>97</v>
      </c>
      <c r="F338">
        <v>74</v>
      </c>
      <c r="G338">
        <v>20</v>
      </c>
      <c r="H338">
        <v>27</v>
      </c>
      <c r="I338">
        <v>33</v>
      </c>
      <c r="J338" t="s">
        <v>3747</v>
      </c>
    </row>
    <row r="339" spans="1:10" x14ac:dyDescent="0.2">
      <c r="A339" t="s">
        <v>572</v>
      </c>
      <c r="B339">
        <v>1864</v>
      </c>
      <c r="C339">
        <v>38</v>
      </c>
      <c r="D339">
        <v>3</v>
      </c>
      <c r="E339">
        <v>96</v>
      </c>
      <c r="F339">
        <v>72</v>
      </c>
      <c r="G339">
        <v>10</v>
      </c>
      <c r="H339">
        <v>17</v>
      </c>
      <c r="I339">
        <v>23</v>
      </c>
      <c r="J339" t="s">
        <v>831</v>
      </c>
    </row>
    <row r="340" spans="1:10" x14ac:dyDescent="0.2">
      <c r="A340" t="s">
        <v>573</v>
      </c>
      <c r="B340">
        <v>1272</v>
      </c>
      <c r="C340">
        <v>38</v>
      </c>
      <c r="D340">
        <v>4</v>
      </c>
      <c r="E340">
        <v>97</v>
      </c>
      <c r="F340">
        <v>73</v>
      </c>
      <c r="G340">
        <v>14</v>
      </c>
      <c r="H340">
        <v>21</v>
      </c>
      <c r="I340">
        <v>27</v>
      </c>
      <c r="J340" t="s">
        <v>831</v>
      </c>
    </row>
    <row r="341" spans="1:10" x14ac:dyDescent="0.2">
      <c r="A341" t="s">
        <v>574</v>
      </c>
      <c r="B341">
        <v>877</v>
      </c>
      <c r="C341">
        <v>39</v>
      </c>
      <c r="D341">
        <v>4</v>
      </c>
      <c r="E341">
        <v>93</v>
      </c>
      <c r="F341">
        <v>75</v>
      </c>
      <c r="G341">
        <v>33</v>
      </c>
      <c r="H341">
        <v>40</v>
      </c>
      <c r="I341">
        <v>46</v>
      </c>
      <c r="J341" t="s">
        <v>3747</v>
      </c>
    </row>
    <row r="342" spans="1:10" x14ac:dyDescent="0.2">
      <c r="A342" t="s">
        <v>575</v>
      </c>
      <c r="B342">
        <v>1321</v>
      </c>
      <c r="C342">
        <v>37</v>
      </c>
      <c r="D342">
        <v>8</v>
      </c>
      <c r="E342">
        <v>97</v>
      </c>
      <c r="F342">
        <v>73</v>
      </c>
      <c r="G342">
        <v>14</v>
      </c>
      <c r="H342">
        <v>21</v>
      </c>
      <c r="I342">
        <v>27</v>
      </c>
      <c r="J342" t="s">
        <v>3747</v>
      </c>
    </row>
    <row r="343" spans="1:10" x14ac:dyDescent="0.2">
      <c r="A343" t="s">
        <v>576</v>
      </c>
      <c r="B343">
        <v>1371</v>
      </c>
      <c r="C343">
        <v>37</v>
      </c>
      <c r="D343">
        <v>10</v>
      </c>
      <c r="E343">
        <v>97</v>
      </c>
      <c r="F343">
        <v>73</v>
      </c>
      <c r="G343">
        <v>14</v>
      </c>
      <c r="H343">
        <v>21</v>
      </c>
      <c r="I343">
        <v>27</v>
      </c>
      <c r="J343" t="s">
        <v>3747</v>
      </c>
    </row>
    <row r="344" spans="1:10" x14ac:dyDescent="0.2">
      <c r="A344" t="s">
        <v>577</v>
      </c>
      <c r="B344">
        <v>546</v>
      </c>
      <c r="C344">
        <v>38</v>
      </c>
      <c r="D344">
        <v>10</v>
      </c>
      <c r="E344">
        <v>91</v>
      </c>
      <c r="F344">
        <v>74</v>
      </c>
      <c r="G344">
        <v>30</v>
      </c>
      <c r="H344">
        <v>37</v>
      </c>
      <c r="I344">
        <v>43</v>
      </c>
      <c r="J344" t="s">
        <v>3747</v>
      </c>
    </row>
    <row r="345" spans="1:10" x14ac:dyDescent="0.2">
      <c r="A345" t="s">
        <v>578</v>
      </c>
      <c r="B345">
        <v>547</v>
      </c>
      <c r="C345">
        <v>37</v>
      </c>
      <c r="D345">
        <v>14</v>
      </c>
      <c r="E345">
        <v>91</v>
      </c>
      <c r="F345">
        <v>75</v>
      </c>
      <c r="G345">
        <v>36</v>
      </c>
      <c r="H345">
        <v>43</v>
      </c>
      <c r="I345">
        <v>49</v>
      </c>
      <c r="J345" t="s">
        <v>3747</v>
      </c>
    </row>
    <row r="346" spans="1:10" x14ac:dyDescent="0.2">
      <c r="A346" t="s">
        <v>579</v>
      </c>
      <c r="B346">
        <v>1188</v>
      </c>
      <c r="C346">
        <v>37</v>
      </c>
      <c r="D346">
        <v>9</v>
      </c>
      <c r="E346">
        <v>92</v>
      </c>
      <c r="F346">
        <v>73</v>
      </c>
      <c r="G346">
        <v>23</v>
      </c>
      <c r="H346">
        <v>29</v>
      </c>
      <c r="I346">
        <v>36</v>
      </c>
      <c r="J346" t="s">
        <v>3747</v>
      </c>
    </row>
    <row r="347" spans="1:10" x14ac:dyDescent="0.2">
      <c r="A347" t="s">
        <v>580</v>
      </c>
      <c r="B347">
        <v>869</v>
      </c>
      <c r="C347">
        <v>39</v>
      </c>
      <c r="D347">
        <v>7</v>
      </c>
      <c r="E347">
        <v>89</v>
      </c>
      <c r="F347">
        <v>73</v>
      </c>
      <c r="G347">
        <v>27</v>
      </c>
      <c r="H347">
        <v>34</v>
      </c>
      <c r="I347">
        <v>40</v>
      </c>
      <c r="J347" t="s">
        <v>3747</v>
      </c>
    </row>
    <row r="348" spans="1:10" x14ac:dyDescent="0.2">
      <c r="A348" t="s">
        <v>581</v>
      </c>
      <c r="B348">
        <v>753</v>
      </c>
      <c r="C348">
        <v>37</v>
      </c>
      <c r="D348">
        <v>15</v>
      </c>
      <c r="E348">
        <v>92</v>
      </c>
      <c r="F348">
        <v>74</v>
      </c>
      <c r="G348">
        <v>28</v>
      </c>
      <c r="H348">
        <v>35</v>
      </c>
      <c r="I348">
        <v>41</v>
      </c>
      <c r="J348" t="s">
        <v>3747</v>
      </c>
    </row>
    <row r="349" spans="1:10" x14ac:dyDescent="0.2">
      <c r="A349" t="s">
        <v>582</v>
      </c>
      <c r="B349">
        <v>571</v>
      </c>
      <c r="C349">
        <v>15</v>
      </c>
      <c r="D349">
        <v>15</v>
      </c>
      <c r="E349">
        <v>93</v>
      </c>
      <c r="F349">
        <v>76</v>
      </c>
      <c r="G349">
        <v>39</v>
      </c>
      <c r="H349">
        <v>46</v>
      </c>
      <c r="I349">
        <v>52</v>
      </c>
      <c r="J349" t="s">
        <v>3747</v>
      </c>
    </row>
    <row r="350" spans="1:10" x14ac:dyDescent="0.2">
      <c r="A350" t="s">
        <v>583</v>
      </c>
      <c r="B350">
        <v>1381</v>
      </c>
      <c r="C350">
        <v>37</v>
      </c>
      <c r="D350">
        <v>14</v>
      </c>
      <c r="E350">
        <v>87</v>
      </c>
      <c r="F350">
        <v>73</v>
      </c>
      <c r="G350">
        <v>30</v>
      </c>
      <c r="H350">
        <v>37</v>
      </c>
      <c r="I350">
        <v>43</v>
      </c>
      <c r="J350" t="s">
        <v>3747</v>
      </c>
    </row>
    <row r="351" spans="1:10" x14ac:dyDescent="0.2">
      <c r="A351" t="s">
        <v>584</v>
      </c>
      <c r="B351">
        <v>966</v>
      </c>
      <c r="C351">
        <v>38</v>
      </c>
      <c r="D351">
        <v>10</v>
      </c>
      <c r="E351">
        <v>89</v>
      </c>
      <c r="F351">
        <v>73</v>
      </c>
      <c r="G351">
        <v>27</v>
      </c>
      <c r="H351">
        <v>34</v>
      </c>
      <c r="I351">
        <v>40</v>
      </c>
      <c r="J351" t="s">
        <v>3747</v>
      </c>
    </row>
    <row r="352" spans="1:10" x14ac:dyDescent="0.2">
      <c r="A352" t="s">
        <v>585</v>
      </c>
      <c r="B352">
        <v>477</v>
      </c>
      <c r="C352">
        <v>38</v>
      </c>
      <c r="D352">
        <v>12</v>
      </c>
      <c r="E352">
        <v>90</v>
      </c>
      <c r="F352">
        <v>75</v>
      </c>
      <c r="G352">
        <v>38</v>
      </c>
      <c r="H352">
        <v>45</v>
      </c>
      <c r="I352">
        <v>51</v>
      </c>
      <c r="J352" t="s">
        <v>3747</v>
      </c>
    </row>
    <row r="353" spans="1:10" x14ac:dyDescent="0.2">
      <c r="A353" t="s">
        <v>586</v>
      </c>
      <c r="B353">
        <v>439</v>
      </c>
      <c r="C353">
        <v>37</v>
      </c>
      <c r="D353">
        <v>10</v>
      </c>
      <c r="E353">
        <v>93</v>
      </c>
      <c r="F353">
        <v>75</v>
      </c>
      <c r="G353">
        <v>33</v>
      </c>
      <c r="H353">
        <v>40</v>
      </c>
      <c r="I353">
        <v>46</v>
      </c>
      <c r="J353" t="s">
        <v>3747</v>
      </c>
    </row>
    <row r="354" spans="1:10" x14ac:dyDescent="0.2">
      <c r="A354" t="s">
        <v>587</v>
      </c>
      <c r="B354">
        <v>407</v>
      </c>
      <c r="C354">
        <v>37</v>
      </c>
      <c r="D354">
        <v>10</v>
      </c>
      <c r="E354">
        <v>94</v>
      </c>
      <c r="F354">
        <v>75</v>
      </c>
      <c r="G354">
        <v>31</v>
      </c>
      <c r="H354">
        <v>38</v>
      </c>
      <c r="I354">
        <v>44</v>
      </c>
      <c r="J354" t="s">
        <v>3747</v>
      </c>
    </row>
    <row r="355" spans="1:10" x14ac:dyDescent="0.2">
      <c r="A355" t="s">
        <v>588</v>
      </c>
      <c r="B355">
        <v>413</v>
      </c>
      <c r="C355">
        <v>37</v>
      </c>
      <c r="D355">
        <v>12</v>
      </c>
      <c r="E355">
        <v>93</v>
      </c>
      <c r="F355">
        <v>76</v>
      </c>
      <c r="G355">
        <v>39</v>
      </c>
      <c r="H355">
        <v>46</v>
      </c>
      <c r="I355">
        <v>52</v>
      </c>
      <c r="J355" t="s">
        <v>3747</v>
      </c>
    </row>
    <row r="356" spans="1:10" x14ac:dyDescent="0.2">
      <c r="A356" t="s">
        <v>589</v>
      </c>
      <c r="B356">
        <v>89</v>
      </c>
      <c r="C356">
        <v>31</v>
      </c>
      <c r="D356">
        <v>30</v>
      </c>
      <c r="E356">
        <v>94</v>
      </c>
      <c r="F356">
        <v>78</v>
      </c>
      <c r="G356">
        <v>51</v>
      </c>
      <c r="H356">
        <v>58</v>
      </c>
      <c r="I356">
        <v>64</v>
      </c>
      <c r="J356" t="s">
        <v>3747</v>
      </c>
    </row>
    <row r="357" spans="1:10" x14ac:dyDescent="0.2">
      <c r="A357" t="s">
        <v>590</v>
      </c>
      <c r="B357">
        <v>64</v>
      </c>
      <c r="C357">
        <v>30</v>
      </c>
      <c r="D357">
        <v>30</v>
      </c>
      <c r="E357">
        <v>92</v>
      </c>
      <c r="F357">
        <v>77</v>
      </c>
      <c r="G357">
        <v>47</v>
      </c>
      <c r="H357">
        <v>54</v>
      </c>
      <c r="I357">
        <v>60</v>
      </c>
      <c r="J357" t="s">
        <v>3747</v>
      </c>
    </row>
    <row r="358" spans="1:10" x14ac:dyDescent="0.2">
      <c r="A358" t="s">
        <v>591</v>
      </c>
      <c r="B358">
        <v>119</v>
      </c>
      <c r="C358">
        <v>30</v>
      </c>
      <c r="D358">
        <v>28</v>
      </c>
      <c r="E358">
        <v>93</v>
      </c>
      <c r="F358">
        <v>77</v>
      </c>
      <c r="G358">
        <v>46</v>
      </c>
      <c r="H358">
        <v>53</v>
      </c>
      <c r="I358">
        <v>59</v>
      </c>
      <c r="J358" t="s">
        <v>3747</v>
      </c>
    </row>
    <row r="359" spans="1:10" x14ac:dyDescent="0.2">
      <c r="A359" t="s">
        <v>592</v>
      </c>
      <c r="B359">
        <v>167</v>
      </c>
      <c r="C359">
        <v>32</v>
      </c>
      <c r="D359">
        <v>27</v>
      </c>
      <c r="E359">
        <v>94</v>
      </c>
      <c r="F359">
        <v>77</v>
      </c>
      <c r="G359">
        <v>44</v>
      </c>
      <c r="H359">
        <v>51</v>
      </c>
      <c r="I359">
        <v>57</v>
      </c>
      <c r="J359" t="s">
        <v>3747</v>
      </c>
    </row>
    <row r="360" spans="1:10" x14ac:dyDescent="0.2">
      <c r="A360" t="s">
        <v>593</v>
      </c>
      <c r="B360">
        <v>9</v>
      </c>
      <c r="C360">
        <v>29</v>
      </c>
      <c r="D360">
        <v>35</v>
      </c>
      <c r="E360">
        <v>93</v>
      </c>
      <c r="F360">
        <v>78</v>
      </c>
      <c r="G360">
        <v>52</v>
      </c>
      <c r="H360">
        <v>59</v>
      </c>
      <c r="I360">
        <v>65</v>
      </c>
      <c r="J360" t="s">
        <v>1527</v>
      </c>
    </row>
    <row r="361" spans="1:10" x14ac:dyDescent="0.2">
      <c r="A361" t="s">
        <v>594</v>
      </c>
      <c r="B361">
        <v>42</v>
      </c>
      <c r="C361">
        <v>30</v>
      </c>
      <c r="D361">
        <v>32</v>
      </c>
      <c r="E361">
        <v>93</v>
      </c>
      <c r="F361">
        <v>78</v>
      </c>
      <c r="G361">
        <v>52</v>
      </c>
      <c r="H361">
        <v>59</v>
      </c>
      <c r="I361">
        <v>65</v>
      </c>
      <c r="J361" t="s">
        <v>3747</v>
      </c>
    </row>
    <row r="362" spans="1:10" x14ac:dyDescent="0.2">
      <c r="A362" t="s">
        <v>595</v>
      </c>
      <c r="B362">
        <v>9</v>
      </c>
      <c r="C362">
        <v>30</v>
      </c>
      <c r="D362">
        <v>32</v>
      </c>
      <c r="E362">
        <v>91</v>
      </c>
      <c r="F362">
        <v>78</v>
      </c>
      <c r="G362">
        <v>56</v>
      </c>
      <c r="H362">
        <v>63</v>
      </c>
      <c r="I362">
        <v>69</v>
      </c>
      <c r="J362" t="s">
        <v>3747</v>
      </c>
    </row>
    <row r="363" spans="1:10" x14ac:dyDescent="0.2">
      <c r="A363" t="s">
        <v>596</v>
      </c>
      <c r="B363">
        <v>330</v>
      </c>
      <c r="C363">
        <v>31</v>
      </c>
      <c r="D363">
        <v>30</v>
      </c>
      <c r="E363">
        <v>94</v>
      </c>
      <c r="F363">
        <v>76</v>
      </c>
      <c r="G363">
        <v>37</v>
      </c>
      <c r="H363">
        <v>44</v>
      </c>
      <c r="I363">
        <v>50</v>
      </c>
      <c r="J363" t="s">
        <v>3747</v>
      </c>
    </row>
    <row r="364" spans="1:10" x14ac:dyDescent="0.2">
      <c r="A364" t="s">
        <v>597</v>
      </c>
      <c r="B364">
        <v>278</v>
      </c>
      <c r="C364">
        <v>32</v>
      </c>
      <c r="D364">
        <v>25</v>
      </c>
      <c r="E364">
        <v>96</v>
      </c>
      <c r="F364">
        <v>76</v>
      </c>
      <c r="G364">
        <v>34</v>
      </c>
      <c r="H364">
        <v>41</v>
      </c>
      <c r="I364">
        <v>47</v>
      </c>
      <c r="J364" t="s">
        <v>3747</v>
      </c>
    </row>
    <row r="365" spans="1:10" x14ac:dyDescent="0.2">
      <c r="A365" t="s">
        <v>598</v>
      </c>
      <c r="B365">
        <v>79</v>
      </c>
      <c r="C365">
        <v>32</v>
      </c>
      <c r="D365">
        <v>27</v>
      </c>
      <c r="E365">
        <v>94</v>
      </c>
      <c r="F365">
        <v>78</v>
      </c>
      <c r="G365">
        <v>51</v>
      </c>
      <c r="H365">
        <v>58</v>
      </c>
      <c r="I365">
        <v>64</v>
      </c>
      <c r="J365" t="s">
        <v>3747</v>
      </c>
    </row>
    <row r="366" spans="1:10" x14ac:dyDescent="0.2">
      <c r="A366" t="s">
        <v>599</v>
      </c>
      <c r="B366">
        <v>121</v>
      </c>
      <c r="C366">
        <v>31</v>
      </c>
      <c r="D366">
        <v>26</v>
      </c>
      <c r="E366">
        <v>95</v>
      </c>
      <c r="F366">
        <v>77</v>
      </c>
      <c r="G366">
        <v>42</v>
      </c>
      <c r="H366">
        <v>49</v>
      </c>
      <c r="I366">
        <v>55</v>
      </c>
      <c r="J366" t="s">
        <v>3747</v>
      </c>
    </row>
    <row r="367" spans="1:10" x14ac:dyDescent="0.2">
      <c r="A367" t="s">
        <v>600</v>
      </c>
      <c r="B367">
        <v>4</v>
      </c>
      <c r="C367">
        <v>30</v>
      </c>
      <c r="D367">
        <v>34</v>
      </c>
      <c r="E367">
        <v>92</v>
      </c>
      <c r="F367">
        <v>78</v>
      </c>
      <c r="G367">
        <v>54</v>
      </c>
      <c r="H367">
        <v>61</v>
      </c>
      <c r="I367">
        <v>67</v>
      </c>
      <c r="J367" t="s">
        <v>3747</v>
      </c>
    </row>
    <row r="368" spans="1:10" x14ac:dyDescent="0.2">
      <c r="A368" t="s">
        <v>601</v>
      </c>
      <c r="B368">
        <v>10</v>
      </c>
      <c r="C368">
        <v>30</v>
      </c>
      <c r="D368">
        <v>39</v>
      </c>
      <c r="E368">
        <v>92</v>
      </c>
      <c r="F368">
        <v>78</v>
      </c>
      <c r="G368">
        <v>54</v>
      </c>
      <c r="H368">
        <v>61</v>
      </c>
      <c r="I368">
        <v>67</v>
      </c>
      <c r="J368" t="s">
        <v>1527</v>
      </c>
    </row>
    <row r="369" spans="1:10" x14ac:dyDescent="0.2">
      <c r="A369" t="s">
        <v>602</v>
      </c>
      <c r="B369">
        <v>254</v>
      </c>
      <c r="C369">
        <v>32</v>
      </c>
      <c r="D369">
        <v>26</v>
      </c>
      <c r="E369">
        <v>95</v>
      </c>
      <c r="F369">
        <v>77</v>
      </c>
      <c r="G369">
        <v>42</v>
      </c>
      <c r="H369">
        <v>49</v>
      </c>
      <c r="I369">
        <v>55</v>
      </c>
      <c r="J369" t="s">
        <v>3747</v>
      </c>
    </row>
    <row r="370" spans="1:10" x14ac:dyDescent="0.2">
      <c r="A370" t="s">
        <v>603</v>
      </c>
      <c r="B370">
        <v>353</v>
      </c>
      <c r="C370">
        <v>44</v>
      </c>
      <c r="D370">
        <v>1</v>
      </c>
      <c r="E370">
        <v>84</v>
      </c>
      <c r="F370">
        <v>69</v>
      </c>
      <c r="G370">
        <v>12</v>
      </c>
      <c r="H370">
        <v>19</v>
      </c>
      <c r="I370">
        <v>25</v>
      </c>
      <c r="J370" t="s">
        <v>3747</v>
      </c>
    </row>
    <row r="371" spans="1:10" x14ac:dyDescent="0.2">
      <c r="A371" t="s">
        <v>1140</v>
      </c>
      <c r="B371">
        <v>192</v>
      </c>
      <c r="C371">
        <v>44</v>
      </c>
      <c r="D371">
        <v>-2</v>
      </c>
      <c r="E371">
        <v>84</v>
      </c>
      <c r="F371">
        <v>69</v>
      </c>
      <c r="G371">
        <v>12</v>
      </c>
      <c r="H371">
        <v>19</v>
      </c>
      <c r="I371">
        <v>25</v>
      </c>
      <c r="J371" t="s">
        <v>3747</v>
      </c>
    </row>
    <row r="372" spans="1:10" x14ac:dyDescent="0.2">
      <c r="A372" t="s">
        <v>1141</v>
      </c>
      <c r="B372">
        <v>75</v>
      </c>
      <c r="C372">
        <v>43</v>
      </c>
      <c r="D372">
        <v>2</v>
      </c>
      <c r="E372">
        <v>84</v>
      </c>
      <c r="F372">
        <v>69</v>
      </c>
      <c r="G372">
        <v>12</v>
      </c>
      <c r="H372">
        <v>19</v>
      </c>
      <c r="I372">
        <v>25</v>
      </c>
      <c r="J372" t="s">
        <v>3747</v>
      </c>
    </row>
    <row r="373" spans="1:10" x14ac:dyDescent="0.2">
      <c r="A373" t="s">
        <v>1142</v>
      </c>
      <c r="B373">
        <v>624</v>
      </c>
      <c r="C373">
        <v>46</v>
      </c>
      <c r="D373">
        <v>-10</v>
      </c>
      <c r="E373">
        <v>82</v>
      </c>
      <c r="F373">
        <v>67</v>
      </c>
      <c r="G373">
        <v>5</v>
      </c>
      <c r="H373">
        <v>12</v>
      </c>
      <c r="I373">
        <v>18</v>
      </c>
      <c r="J373" t="s">
        <v>3747</v>
      </c>
    </row>
    <row r="374" spans="1:10" x14ac:dyDescent="0.2">
      <c r="A374" t="s">
        <v>1143</v>
      </c>
      <c r="B374">
        <v>358</v>
      </c>
      <c r="C374">
        <v>44</v>
      </c>
      <c r="D374">
        <v>-2</v>
      </c>
      <c r="E374">
        <v>85</v>
      </c>
      <c r="F374">
        <v>70</v>
      </c>
      <c r="G374">
        <v>15</v>
      </c>
      <c r="H374">
        <v>22</v>
      </c>
      <c r="I374">
        <v>29</v>
      </c>
      <c r="J374" t="s">
        <v>3747</v>
      </c>
    </row>
    <row r="375" spans="1:10" x14ac:dyDescent="0.2">
      <c r="A375" t="s">
        <v>1144</v>
      </c>
      <c r="B375">
        <v>745</v>
      </c>
      <c r="C375">
        <v>46</v>
      </c>
      <c r="D375">
        <v>-9</v>
      </c>
      <c r="E375">
        <v>80</v>
      </c>
      <c r="F375">
        <v>66</v>
      </c>
      <c r="G375">
        <v>3</v>
      </c>
      <c r="H375">
        <v>10</v>
      </c>
      <c r="I375">
        <v>16</v>
      </c>
      <c r="J375" t="s">
        <v>3747</v>
      </c>
    </row>
    <row r="376" spans="1:10" x14ac:dyDescent="0.2">
      <c r="A376" t="s">
        <v>1145</v>
      </c>
      <c r="B376">
        <v>413</v>
      </c>
      <c r="C376">
        <v>45</v>
      </c>
      <c r="D376">
        <v>-9</v>
      </c>
      <c r="E376">
        <v>83</v>
      </c>
      <c r="F376">
        <v>68</v>
      </c>
      <c r="G376">
        <v>8</v>
      </c>
      <c r="H376">
        <v>15</v>
      </c>
      <c r="I376">
        <v>21</v>
      </c>
      <c r="J376" t="s">
        <v>3747</v>
      </c>
    </row>
    <row r="377" spans="1:10" x14ac:dyDescent="0.2">
      <c r="A377" t="s">
        <v>1146</v>
      </c>
      <c r="B377">
        <v>43</v>
      </c>
      <c r="C377">
        <v>43</v>
      </c>
      <c r="D377">
        <v>2</v>
      </c>
      <c r="E377">
        <v>83</v>
      </c>
      <c r="F377">
        <v>70</v>
      </c>
      <c r="G377">
        <v>19</v>
      </c>
      <c r="H377">
        <v>26</v>
      </c>
      <c r="I377">
        <v>32</v>
      </c>
      <c r="J377" t="s">
        <v>3747</v>
      </c>
    </row>
    <row r="378" spans="1:10" x14ac:dyDescent="0.2">
      <c r="A378" t="s">
        <v>1147</v>
      </c>
      <c r="B378">
        <v>333</v>
      </c>
      <c r="C378">
        <v>44</v>
      </c>
      <c r="D378">
        <v>-4</v>
      </c>
      <c r="E378">
        <v>84</v>
      </c>
      <c r="F378">
        <v>69</v>
      </c>
      <c r="G378">
        <v>12</v>
      </c>
      <c r="H378">
        <v>19</v>
      </c>
      <c r="I378">
        <v>25</v>
      </c>
      <c r="J378" t="s">
        <v>3747</v>
      </c>
    </row>
    <row r="379" spans="1:10" x14ac:dyDescent="0.2">
      <c r="A379" t="s">
        <v>1148</v>
      </c>
      <c r="B379">
        <v>148</v>
      </c>
      <c r="C379">
        <v>39</v>
      </c>
      <c r="D379">
        <v>15</v>
      </c>
      <c r="E379">
        <v>91</v>
      </c>
      <c r="F379">
        <v>74</v>
      </c>
      <c r="G379">
        <v>30</v>
      </c>
      <c r="H379">
        <v>37</v>
      </c>
      <c r="I379">
        <v>43</v>
      </c>
      <c r="J379" t="s">
        <v>3747</v>
      </c>
    </row>
    <row r="380" spans="1:10" x14ac:dyDescent="0.2">
      <c r="A380" t="s">
        <v>1149</v>
      </c>
      <c r="B380">
        <v>24</v>
      </c>
      <c r="C380">
        <v>39</v>
      </c>
      <c r="D380">
        <v>17</v>
      </c>
      <c r="E380">
        <v>89</v>
      </c>
      <c r="F380">
        <v>76</v>
      </c>
      <c r="G380">
        <v>46</v>
      </c>
      <c r="H380">
        <v>53</v>
      </c>
      <c r="I380">
        <v>59</v>
      </c>
      <c r="J380" t="s">
        <v>3747</v>
      </c>
    </row>
    <row r="381" spans="1:10" x14ac:dyDescent="0.2">
      <c r="A381" t="s">
        <v>1150</v>
      </c>
      <c r="B381">
        <v>790</v>
      </c>
      <c r="C381">
        <v>39</v>
      </c>
      <c r="D381">
        <v>10</v>
      </c>
      <c r="E381">
        <v>89</v>
      </c>
      <c r="F381">
        <v>74</v>
      </c>
      <c r="G381">
        <v>33</v>
      </c>
      <c r="H381">
        <v>40</v>
      </c>
      <c r="I381">
        <v>46</v>
      </c>
      <c r="J381" t="s">
        <v>3747</v>
      </c>
    </row>
    <row r="382" spans="1:10" x14ac:dyDescent="0.2">
      <c r="A382" t="s">
        <v>1151</v>
      </c>
      <c r="B382">
        <v>313</v>
      </c>
      <c r="C382">
        <v>39</v>
      </c>
      <c r="D382">
        <v>12</v>
      </c>
      <c r="E382">
        <v>91</v>
      </c>
      <c r="F382">
        <v>75</v>
      </c>
      <c r="G382">
        <v>36</v>
      </c>
      <c r="H382">
        <v>43</v>
      </c>
      <c r="I382">
        <v>49</v>
      </c>
      <c r="J382" t="s">
        <v>3747</v>
      </c>
    </row>
    <row r="383" spans="1:10" x14ac:dyDescent="0.2">
      <c r="A383" t="s">
        <v>1152</v>
      </c>
      <c r="B383">
        <v>704</v>
      </c>
      <c r="C383">
        <v>39</v>
      </c>
      <c r="D383">
        <v>12</v>
      </c>
      <c r="E383">
        <v>91</v>
      </c>
      <c r="F383">
        <v>74</v>
      </c>
      <c r="G383">
        <v>30</v>
      </c>
      <c r="H383">
        <v>37</v>
      </c>
      <c r="I383">
        <v>43</v>
      </c>
      <c r="J383" t="s">
        <v>3747</v>
      </c>
    </row>
    <row r="384" spans="1:10" x14ac:dyDescent="0.2">
      <c r="A384" t="s">
        <v>1153</v>
      </c>
      <c r="B384">
        <v>39</v>
      </c>
      <c r="C384">
        <v>38</v>
      </c>
      <c r="D384">
        <v>21</v>
      </c>
      <c r="E384">
        <v>90</v>
      </c>
      <c r="F384">
        <v>75</v>
      </c>
      <c r="G384">
        <v>38</v>
      </c>
      <c r="H384">
        <v>45</v>
      </c>
      <c r="I384">
        <v>51</v>
      </c>
      <c r="J384" t="s">
        <v>3747</v>
      </c>
    </row>
    <row r="385" spans="1:10" x14ac:dyDescent="0.2">
      <c r="A385" t="s">
        <v>1154</v>
      </c>
      <c r="B385">
        <v>52</v>
      </c>
      <c r="C385">
        <v>38</v>
      </c>
      <c r="D385">
        <v>18</v>
      </c>
      <c r="E385">
        <v>90</v>
      </c>
      <c r="F385">
        <v>76</v>
      </c>
      <c r="G385">
        <v>44</v>
      </c>
      <c r="H385">
        <v>50</v>
      </c>
      <c r="I385">
        <v>56</v>
      </c>
      <c r="J385" t="s">
        <v>3747</v>
      </c>
    </row>
    <row r="386" spans="1:10" x14ac:dyDescent="0.2">
      <c r="A386" t="s">
        <v>1155</v>
      </c>
      <c r="B386">
        <v>20</v>
      </c>
      <c r="C386">
        <v>42</v>
      </c>
      <c r="D386">
        <v>12</v>
      </c>
      <c r="E386">
        <v>87</v>
      </c>
      <c r="F386">
        <v>71</v>
      </c>
      <c r="G386">
        <v>19</v>
      </c>
      <c r="H386">
        <v>26</v>
      </c>
      <c r="I386">
        <v>32</v>
      </c>
      <c r="J386" t="s">
        <v>3747</v>
      </c>
    </row>
    <row r="387" spans="1:10" x14ac:dyDescent="0.2">
      <c r="A387" t="s">
        <v>1156</v>
      </c>
      <c r="B387">
        <v>366</v>
      </c>
      <c r="C387">
        <v>42</v>
      </c>
      <c r="D387">
        <v>2</v>
      </c>
      <c r="E387">
        <v>87</v>
      </c>
      <c r="F387">
        <v>71</v>
      </c>
      <c r="G387">
        <v>18</v>
      </c>
      <c r="H387">
        <v>24</v>
      </c>
      <c r="I387">
        <v>31</v>
      </c>
      <c r="J387" t="s">
        <v>3747</v>
      </c>
    </row>
    <row r="388" spans="1:10" x14ac:dyDescent="0.2">
      <c r="A388" t="s">
        <v>1157</v>
      </c>
      <c r="B388">
        <v>132</v>
      </c>
      <c r="C388">
        <v>41</v>
      </c>
      <c r="D388">
        <v>14</v>
      </c>
      <c r="E388">
        <v>82</v>
      </c>
      <c r="F388">
        <v>72</v>
      </c>
      <c r="G388">
        <v>32</v>
      </c>
      <c r="H388">
        <v>39</v>
      </c>
      <c r="I388">
        <v>45</v>
      </c>
      <c r="J388" t="s">
        <v>3747</v>
      </c>
    </row>
    <row r="389" spans="1:10" x14ac:dyDescent="0.2">
      <c r="A389" t="s">
        <v>1158</v>
      </c>
      <c r="B389">
        <v>190</v>
      </c>
      <c r="C389">
        <v>41</v>
      </c>
      <c r="D389">
        <v>9</v>
      </c>
      <c r="E389">
        <v>84</v>
      </c>
      <c r="F389">
        <v>71</v>
      </c>
      <c r="G389">
        <v>23</v>
      </c>
      <c r="H389">
        <v>30</v>
      </c>
      <c r="I389">
        <v>36</v>
      </c>
      <c r="J389" t="s">
        <v>3747</v>
      </c>
    </row>
    <row r="390" spans="1:10" x14ac:dyDescent="0.2">
      <c r="A390" t="s">
        <v>1159</v>
      </c>
      <c r="B390">
        <v>197</v>
      </c>
      <c r="C390">
        <v>42</v>
      </c>
      <c r="D390">
        <v>6</v>
      </c>
      <c r="E390">
        <v>86</v>
      </c>
      <c r="F390">
        <v>71</v>
      </c>
      <c r="G390">
        <v>22</v>
      </c>
      <c r="H390">
        <v>29</v>
      </c>
      <c r="I390">
        <v>35</v>
      </c>
      <c r="J390" t="s">
        <v>3747</v>
      </c>
    </row>
    <row r="391" spans="1:10" x14ac:dyDescent="0.2">
      <c r="A391" t="s">
        <v>1160</v>
      </c>
      <c r="B391">
        <v>11</v>
      </c>
      <c r="C391">
        <v>42</v>
      </c>
      <c r="D391">
        <v>5</v>
      </c>
      <c r="E391">
        <v>86</v>
      </c>
      <c r="F391">
        <v>71</v>
      </c>
      <c r="G391">
        <v>19</v>
      </c>
      <c r="H391">
        <v>25</v>
      </c>
      <c r="I391">
        <v>32</v>
      </c>
      <c r="J391" t="s">
        <v>1527</v>
      </c>
    </row>
    <row r="392" spans="1:10" x14ac:dyDescent="0.2">
      <c r="A392" t="s">
        <v>1161</v>
      </c>
      <c r="B392">
        <v>250</v>
      </c>
      <c r="C392">
        <v>42</v>
      </c>
      <c r="D392">
        <v>-2</v>
      </c>
      <c r="E392">
        <v>85</v>
      </c>
      <c r="F392">
        <v>71</v>
      </c>
      <c r="G392">
        <v>21</v>
      </c>
      <c r="H392">
        <v>27</v>
      </c>
      <c r="I392">
        <v>34</v>
      </c>
      <c r="J392" t="s">
        <v>3747</v>
      </c>
    </row>
    <row r="393" spans="1:10" x14ac:dyDescent="0.2">
      <c r="A393" t="s">
        <v>1162</v>
      </c>
      <c r="B393">
        <v>148</v>
      </c>
      <c r="C393">
        <v>42</v>
      </c>
      <c r="D393">
        <v>0</v>
      </c>
      <c r="E393">
        <v>87</v>
      </c>
      <c r="F393">
        <v>72</v>
      </c>
      <c r="G393">
        <v>24</v>
      </c>
      <c r="H393">
        <v>31</v>
      </c>
      <c r="I393">
        <v>37</v>
      </c>
      <c r="J393" t="s">
        <v>3747</v>
      </c>
    </row>
    <row r="394" spans="1:10" x14ac:dyDescent="0.2">
      <c r="A394" t="s">
        <v>1163</v>
      </c>
      <c r="B394">
        <v>102</v>
      </c>
      <c r="C394">
        <v>42</v>
      </c>
      <c r="D394">
        <v>1</v>
      </c>
      <c r="E394">
        <v>88</v>
      </c>
      <c r="F394">
        <v>72</v>
      </c>
      <c r="G394">
        <v>21</v>
      </c>
      <c r="H394">
        <v>28</v>
      </c>
      <c r="I394">
        <v>34</v>
      </c>
      <c r="J394" t="s">
        <v>3747</v>
      </c>
    </row>
    <row r="395" spans="1:10" x14ac:dyDescent="0.2">
      <c r="A395" t="s">
        <v>1164</v>
      </c>
      <c r="B395">
        <v>80</v>
      </c>
      <c r="C395">
        <v>41</v>
      </c>
      <c r="D395">
        <v>9</v>
      </c>
      <c r="E395">
        <v>82</v>
      </c>
      <c r="F395">
        <v>71</v>
      </c>
      <c r="G395">
        <v>27</v>
      </c>
      <c r="H395">
        <v>34</v>
      </c>
      <c r="I395">
        <v>40</v>
      </c>
      <c r="J395" t="s">
        <v>3747</v>
      </c>
    </row>
    <row r="396" spans="1:10" x14ac:dyDescent="0.2">
      <c r="A396" t="s">
        <v>1165</v>
      </c>
      <c r="B396">
        <v>1194</v>
      </c>
      <c r="C396">
        <v>42</v>
      </c>
      <c r="D396">
        <v>-3</v>
      </c>
      <c r="E396">
        <v>84</v>
      </c>
      <c r="F396">
        <v>70</v>
      </c>
      <c r="G396">
        <v>18</v>
      </c>
      <c r="H396">
        <v>25</v>
      </c>
      <c r="I396">
        <v>31</v>
      </c>
      <c r="J396" t="s">
        <v>3747</v>
      </c>
    </row>
    <row r="397" spans="1:10" x14ac:dyDescent="0.2">
      <c r="A397" t="s">
        <v>1166</v>
      </c>
      <c r="B397">
        <v>195</v>
      </c>
      <c r="C397">
        <v>42</v>
      </c>
      <c r="D397">
        <v>0</v>
      </c>
      <c r="E397">
        <v>87</v>
      </c>
      <c r="F397">
        <v>71</v>
      </c>
      <c r="G397">
        <v>19</v>
      </c>
      <c r="H397">
        <v>26</v>
      </c>
      <c r="I397">
        <v>32</v>
      </c>
      <c r="J397" t="s">
        <v>3747</v>
      </c>
    </row>
    <row r="398" spans="1:10" x14ac:dyDescent="0.2">
      <c r="A398" t="s">
        <v>1167</v>
      </c>
      <c r="B398">
        <v>43</v>
      </c>
      <c r="C398">
        <v>41</v>
      </c>
      <c r="D398">
        <v>9</v>
      </c>
      <c r="E398">
        <v>86</v>
      </c>
      <c r="F398">
        <v>72</v>
      </c>
      <c r="G398">
        <v>26</v>
      </c>
      <c r="H398">
        <v>33</v>
      </c>
      <c r="I398">
        <v>39</v>
      </c>
      <c r="J398" t="s">
        <v>3747</v>
      </c>
    </row>
    <row r="399" spans="1:10" x14ac:dyDescent="0.2">
      <c r="A399" t="s">
        <v>1168</v>
      </c>
      <c r="B399">
        <v>161</v>
      </c>
      <c r="C399">
        <v>42</v>
      </c>
      <c r="D399">
        <v>11</v>
      </c>
      <c r="E399">
        <v>87</v>
      </c>
      <c r="F399">
        <v>72</v>
      </c>
      <c r="G399">
        <v>24</v>
      </c>
      <c r="H399">
        <v>31</v>
      </c>
      <c r="I399">
        <v>37</v>
      </c>
      <c r="J399" t="s">
        <v>3747</v>
      </c>
    </row>
    <row r="400" spans="1:10" x14ac:dyDescent="0.2">
      <c r="A400" t="s">
        <v>2502</v>
      </c>
      <c r="B400">
        <v>986</v>
      </c>
      <c r="C400">
        <v>42</v>
      </c>
      <c r="D400">
        <v>5</v>
      </c>
      <c r="E400">
        <v>83</v>
      </c>
      <c r="F400">
        <v>69</v>
      </c>
      <c r="G400">
        <v>14</v>
      </c>
      <c r="H400">
        <v>21</v>
      </c>
      <c r="I400">
        <v>27</v>
      </c>
      <c r="J400" t="s">
        <v>3747</v>
      </c>
    </row>
    <row r="401" spans="1:10" x14ac:dyDescent="0.2">
      <c r="A401" t="s">
        <v>2503</v>
      </c>
      <c r="B401">
        <v>41</v>
      </c>
      <c r="C401">
        <v>3</v>
      </c>
      <c r="D401">
        <v>88</v>
      </c>
      <c r="E401">
        <v>72</v>
      </c>
      <c r="F401">
        <v>23</v>
      </c>
      <c r="G401">
        <v>30</v>
      </c>
      <c r="H401">
        <v>36</v>
      </c>
      <c r="I401" t="s">
        <v>3747</v>
      </c>
    </row>
    <row r="402" spans="1:10" x14ac:dyDescent="0.2">
      <c r="A402" t="s">
        <v>2504</v>
      </c>
      <c r="B402">
        <v>689</v>
      </c>
      <c r="C402">
        <v>45</v>
      </c>
      <c r="D402">
        <v>-1</v>
      </c>
      <c r="E402">
        <v>84</v>
      </c>
      <c r="F402">
        <v>69</v>
      </c>
      <c r="G402">
        <v>12</v>
      </c>
      <c r="H402">
        <v>19</v>
      </c>
      <c r="I402">
        <v>25</v>
      </c>
      <c r="J402" t="s">
        <v>831</v>
      </c>
    </row>
    <row r="403" spans="1:10" x14ac:dyDescent="0.2">
      <c r="A403" t="s">
        <v>2727</v>
      </c>
      <c r="B403">
        <v>941</v>
      </c>
      <c r="C403">
        <v>42</v>
      </c>
      <c r="D403">
        <v>5</v>
      </c>
      <c r="E403">
        <v>88</v>
      </c>
      <c r="F403">
        <v>72</v>
      </c>
      <c r="G403">
        <v>23</v>
      </c>
      <c r="H403">
        <v>30</v>
      </c>
      <c r="I403">
        <v>36</v>
      </c>
      <c r="J403" t="s">
        <v>3747</v>
      </c>
    </row>
    <row r="404" spans="1:10" x14ac:dyDescent="0.2">
      <c r="A404" t="s">
        <v>2728</v>
      </c>
      <c r="B404">
        <v>643</v>
      </c>
      <c r="C404">
        <v>42</v>
      </c>
      <c r="D404">
        <v>5</v>
      </c>
      <c r="E404">
        <v>88</v>
      </c>
      <c r="F404">
        <v>72</v>
      </c>
      <c r="G404">
        <v>23</v>
      </c>
      <c r="H404">
        <v>30</v>
      </c>
      <c r="I404">
        <v>36</v>
      </c>
      <c r="J404" t="s">
        <v>3747</v>
      </c>
    </row>
    <row r="405" spans="1:10" x14ac:dyDescent="0.2">
      <c r="A405" t="s">
        <v>2729</v>
      </c>
      <c r="B405">
        <v>619</v>
      </c>
      <c r="C405">
        <v>42</v>
      </c>
      <c r="D405">
        <v>5</v>
      </c>
      <c r="E405">
        <v>87</v>
      </c>
      <c r="F405">
        <v>72</v>
      </c>
      <c r="G405">
        <v>24</v>
      </c>
      <c r="H405">
        <v>31</v>
      </c>
      <c r="I405">
        <v>37</v>
      </c>
      <c r="J405" t="s">
        <v>3747</v>
      </c>
    </row>
    <row r="406" spans="1:10" x14ac:dyDescent="0.2">
      <c r="A406" t="s">
        <v>2730</v>
      </c>
      <c r="B406">
        <v>609</v>
      </c>
      <c r="C406">
        <v>45</v>
      </c>
      <c r="D406">
        <v>-7</v>
      </c>
      <c r="E406">
        <v>83</v>
      </c>
      <c r="F406">
        <v>69</v>
      </c>
      <c r="G406">
        <v>14</v>
      </c>
      <c r="H406">
        <v>21</v>
      </c>
      <c r="I406">
        <v>27</v>
      </c>
      <c r="J406" t="s">
        <v>3747</v>
      </c>
    </row>
    <row r="407" spans="1:10" x14ac:dyDescent="0.2">
      <c r="A407" t="s">
        <v>2731</v>
      </c>
      <c r="B407">
        <v>771</v>
      </c>
      <c r="C407">
        <v>42</v>
      </c>
      <c r="D407">
        <v>3</v>
      </c>
      <c r="E407">
        <v>86</v>
      </c>
      <c r="F407">
        <v>71</v>
      </c>
      <c r="G407">
        <v>20</v>
      </c>
      <c r="H407">
        <v>27</v>
      </c>
      <c r="I407">
        <v>33</v>
      </c>
      <c r="J407" t="s">
        <v>3747</v>
      </c>
    </row>
    <row r="408" spans="1:10" x14ac:dyDescent="0.2">
      <c r="A408" t="s">
        <v>2732</v>
      </c>
      <c r="B408">
        <v>784</v>
      </c>
      <c r="C408">
        <v>42</v>
      </c>
      <c r="D408">
        <v>5</v>
      </c>
      <c r="E408">
        <v>86</v>
      </c>
      <c r="F408">
        <v>71</v>
      </c>
      <c r="G408">
        <v>20</v>
      </c>
      <c r="H408">
        <v>27</v>
      </c>
      <c r="I408">
        <v>33</v>
      </c>
      <c r="J408" t="s">
        <v>3747</v>
      </c>
    </row>
    <row r="409" spans="1:10" x14ac:dyDescent="0.2">
      <c r="A409" t="s">
        <v>2733</v>
      </c>
      <c r="B409">
        <v>1091</v>
      </c>
      <c r="C409">
        <v>47</v>
      </c>
      <c r="D409">
        <v>-4</v>
      </c>
      <c r="E409">
        <v>83</v>
      </c>
      <c r="F409">
        <v>69</v>
      </c>
      <c r="G409">
        <v>14</v>
      </c>
      <c r="H409">
        <v>21</v>
      </c>
      <c r="I409">
        <v>27</v>
      </c>
      <c r="J409" t="s">
        <v>3747</v>
      </c>
    </row>
    <row r="410" spans="1:10" x14ac:dyDescent="0.2">
      <c r="A410" t="s">
        <v>2734</v>
      </c>
      <c r="B410">
        <v>600</v>
      </c>
      <c r="C410">
        <v>44</v>
      </c>
      <c r="D410">
        <v>12</v>
      </c>
      <c r="E410">
        <v>86</v>
      </c>
      <c r="F410">
        <v>69</v>
      </c>
      <c r="G410">
        <v>9</v>
      </c>
      <c r="H410">
        <v>16</v>
      </c>
      <c r="I410">
        <v>22</v>
      </c>
      <c r="J410" t="s">
        <v>3747</v>
      </c>
    </row>
    <row r="411" spans="1:10" x14ac:dyDescent="0.2">
      <c r="A411" t="s">
        <v>2735</v>
      </c>
      <c r="B411">
        <v>603</v>
      </c>
      <c r="C411">
        <v>42</v>
      </c>
      <c r="D411">
        <v>6</v>
      </c>
      <c r="E411">
        <v>86</v>
      </c>
      <c r="F411">
        <v>71</v>
      </c>
      <c r="G411">
        <v>20</v>
      </c>
      <c r="H411">
        <v>27</v>
      </c>
      <c r="I411">
        <v>33</v>
      </c>
      <c r="J411" t="s">
        <v>3747</v>
      </c>
    </row>
    <row r="412" spans="1:10" x14ac:dyDescent="0.2">
      <c r="A412" t="s">
        <v>2736</v>
      </c>
      <c r="B412">
        <v>1001</v>
      </c>
      <c r="C412">
        <v>42</v>
      </c>
      <c r="D412">
        <v>4</v>
      </c>
      <c r="E412">
        <v>86</v>
      </c>
      <c r="F412">
        <v>73</v>
      </c>
      <c r="G412">
        <v>32</v>
      </c>
      <c r="H412">
        <v>39</v>
      </c>
      <c r="I412">
        <v>45</v>
      </c>
      <c r="J412" t="s">
        <v>3747</v>
      </c>
    </row>
    <row r="413" spans="1:10" x14ac:dyDescent="0.2">
      <c r="A413" t="s">
        <v>3520</v>
      </c>
      <c r="B413">
        <v>874</v>
      </c>
      <c r="C413">
        <v>42</v>
      </c>
      <c r="D413">
        <v>5</v>
      </c>
      <c r="E413">
        <v>88</v>
      </c>
      <c r="F413">
        <v>72</v>
      </c>
      <c r="G413">
        <v>23</v>
      </c>
      <c r="H413">
        <v>30</v>
      </c>
      <c r="I413">
        <v>36</v>
      </c>
      <c r="J413" t="s">
        <v>3747</v>
      </c>
    </row>
    <row r="414" spans="1:10" x14ac:dyDescent="0.2">
      <c r="A414" t="s">
        <v>3521</v>
      </c>
      <c r="B414">
        <v>841</v>
      </c>
      <c r="C414">
        <v>42</v>
      </c>
      <c r="D414">
        <v>2</v>
      </c>
      <c r="E414">
        <v>86</v>
      </c>
      <c r="F414">
        <v>72</v>
      </c>
      <c r="G414">
        <v>26</v>
      </c>
      <c r="H414">
        <v>33</v>
      </c>
      <c r="I414">
        <v>39</v>
      </c>
      <c r="J414" t="s">
        <v>3747</v>
      </c>
    </row>
    <row r="415" spans="1:10" x14ac:dyDescent="0.2">
      <c r="A415" t="s">
        <v>3522</v>
      </c>
      <c r="B415">
        <v>1424</v>
      </c>
      <c r="C415">
        <v>46</v>
      </c>
      <c r="D415">
        <v>-8</v>
      </c>
      <c r="E415">
        <v>82</v>
      </c>
      <c r="F415">
        <v>67</v>
      </c>
      <c r="G415">
        <v>5</v>
      </c>
      <c r="H415">
        <v>12</v>
      </c>
      <c r="I415">
        <v>18</v>
      </c>
      <c r="J415" t="s">
        <v>3747</v>
      </c>
    </row>
    <row r="416" spans="1:10" x14ac:dyDescent="0.2">
      <c r="A416" t="s">
        <v>3523</v>
      </c>
      <c r="B416">
        <v>1220</v>
      </c>
      <c r="C416">
        <v>46</v>
      </c>
      <c r="D416">
        <v>-6</v>
      </c>
      <c r="E416">
        <v>83</v>
      </c>
      <c r="F416">
        <v>69</v>
      </c>
      <c r="G416">
        <v>14</v>
      </c>
      <c r="H416">
        <v>21</v>
      </c>
      <c r="I416">
        <v>27</v>
      </c>
      <c r="J416" t="s">
        <v>3747</v>
      </c>
    </row>
    <row r="417" spans="1:10" x14ac:dyDescent="0.2">
      <c r="A417" t="s">
        <v>3524</v>
      </c>
      <c r="B417">
        <v>583</v>
      </c>
      <c r="C417">
        <v>42</v>
      </c>
      <c r="D417">
        <v>7</v>
      </c>
      <c r="E417">
        <v>87</v>
      </c>
      <c r="F417">
        <v>72</v>
      </c>
      <c r="G417">
        <v>24</v>
      </c>
      <c r="H417">
        <v>31</v>
      </c>
      <c r="I417">
        <v>37</v>
      </c>
      <c r="J417" t="s">
        <v>3747</v>
      </c>
    </row>
    <row r="418" spans="1:10" x14ac:dyDescent="0.2">
      <c r="A418" t="s">
        <v>3525</v>
      </c>
      <c r="B418">
        <v>755</v>
      </c>
      <c r="C418">
        <v>43</v>
      </c>
      <c r="D418">
        <v>4</v>
      </c>
      <c r="E418">
        <v>87</v>
      </c>
      <c r="F418">
        <v>72</v>
      </c>
      <c r="G418">
        <v>24</v>
      </c>
      <c r="H418">
        <v>31</v>
      </c>
      <c r="I418">
        <v>37</v>
      </c>
      <c r="J418" t="s">
        <v>3747</v>
      </c>
    </row>
    <row r="419" spans="1:10" x14ac:dyDescent="0.2">
      <c r="A419" t="s">
        <v>3526</v>
      </c>
      <c r="B419">
        <v>625</v>
      </c>
      <c r="C419">
        <v>43</v>
      </c>
      <c r="D419">
        <v>7</v>
      </c>
      <c r="E419">
        <v>83</v>
      </c>
      <c r="F419">
        <v>70</v>
      </c>
      <c r="G419">
        <v>19</v>
      </c>
      <c r="H419">
        <v>26</v>
      </c>
      <c r="I419">
        <v>32</v>
      </c>
      <c r="J419" t="s">
        <v>831</v>
      </c>
    </row>
    <row r="420" spans="1:10" x14ac:dyDescent="0.2">
      <c r="A420" t="s">
        <v>3527</v>
      </c>
      <c r="B420">
        <v>634</v>
      </c>
      <c r="C420">
        <v>44</v>
      </c>
      <c r="D420">
        <v>3</v>
      </c>
      <c r="E420">
        <v>86</v>
      </c>
      <c r="F420">
        <v>71</v>
      </c>
      <c r="G420">
        <v>20</v>
      </c>
      <c r="H420">
        <v>27</v>
      </c>
      <c r="I420">
        <v>33</v>
      </c>
      <c r="J420" t="s">
        <v>3747</v>
      </c>
    </row>
    <row r="421" spans="1:10" x14ac:dyDescent="0.2">
      <c r="A421" t="s">
        <v>3528</v>
      </c>
      <c r="B421">
        <v>719</v>
      </c>
      <c r="C421">
        <v>45</v>
      </c>
      <c r="D421">
        <v>-3</v>
      </c>
      <c r="E421">
        <v>86</v>
      </c>
      <c r="F421">
        <v>69</v>
      </c>
      <c r="G421">
        <v>9</v>
      </c>
      <c r="H421">
        <v>16</v>
      </c>
      <c r="I421">
        <v>22</v>
      </c>
      <c r="J421" t="s">
        <v>831</v>
      </c>
    </row>
    <row r="422" spans="1:10" x14ac:dyDescent="0.2">
      <c r="A422" t="s">
        <v>3529</v>
      </c>
      <c r="B422">
        <v>980</v>
      </c>
      <c r="C422">
        <v>42</v>
      </c>
      <c r="D422">
        <v>4</v>
      </c>
      <c r="E422">
        <v>87</v>
      </c>
      <c r="F422">
        <v>72</v>
      </c>
      <c r="G422">
        <v>24</v>
      </c>
      <c r="H422">
        <v>31</v>
      </c>
      <c r="I422">
        <v>37</v>
      </c>
      <c r="J422" t="s">
        <v>3747</v>
      </c>
    </row>
    <row r="423" spans="1:10" x14ac:dyDescent="0.2">
      <c r="A423" t="s">
        <v>3530</v>
      </c>
      <c r="B423">
        <v>586</v>
      </c>
      <c r="C423">
        <v>43</v>
      </c>
      <c r="D423">
        <v>4</v>
      </c>
      <c r="E423">
        <v>87</v>
      </c>
      <c r="F423">
        <v>72</v>
      </c>
      <c r="G423">
        <v>24</v>
      </c>
      <c r="H423">
        <v>31</v>
      </c>
      <c r="I423">
        <v>37</v>
      </c>
      <c r="J423" t="s">
        <v>831</v>
      </c>
    </row>
    <row r="424" spans="1:10" x14ac:dyDescent="0.2">
      <c r="A424" t="s">
        <v>3531</v>
      </c>
      <c r="B424">
        <v>667</v>
      </c>
      <c r="C424">
        <v>43</v>
      </c>
      <c r="D424">
        <v>4</v>
      </c>
      <c r="E424">
        <v>87</v>
      </c>
      <c r="F424">
        <v>72</v>
      </c>
      <c r="G424">
        <v>24</v>
      </c>
      <c r="H424">
        <v>31</v>
      </c>
      <c r="I424">
        <v>37</v>
      </c>
      <c r="J424" t="s">
        <v>3747</v>
      </c>
    </row>
    <row r="425" spans="1:10" x14ac:dyDescent="0.2">
      <c r="A425" t="s">
        <v>3532</v>
      </c>
      <c r="B425">
        <v>721</v>
      </c>
      <c r="C425">
        <v>46</v>
      </c>
      <c r="D425">
        <v>-7</v>
      </c>
      <c r="E425">
        <v>80</v>
      </c>
      <c r="F425">
        <v>68</v>
      </c>
      <c r="G425">
        <v>13</v>
      </c>
      <c r="H425">
        <v>20</v>
      </c>
      <c r="I425">
        <v>26</v>
      </c>
      <c r="J425" t="s">
        <v>3747</v>
      </c>
    </row>
    <row r="426" spans="1:10" x14ac:dyDescent="0.2">
      <c r="A426" t="s">
        <v>3533</v>
      </c>
      <c r="B426">
        <v>591</v>
      </c>
      <c r="C426">
        <v>45</v>
      </c>
      <c r="D426">
        <v>4</v>
      </c>
      <c r="E426">
        <v>76</v>
      </c>
      <c r="F426">
        <v>65</v>
      </c>
      <c r="G426">
        <v>4</v>
      </c>
      <c r="H426">
        <v>11</v>
      </c>
      <c r="I426">
        <v>17</v>
      </c>
      <c r="J426" t="s">
        <v>3747</v>
      </c>
    </row>
    <row r="427" spans="1:10" x14ac:dyDescent="0.2">
      <c r="A427" t="s">
        <v>3534</v>
      </c>
      <c r="B427">
        <v>624</v>
      </c>
      <c r="C427">
        <v>44</v>
      </c>
      <c r="D427">
        <v>2</v>
      </c>
      <c r="E427">
        <v>86</v>
      </c>
      <c r="F427">
        <v>70</v>
      </c>
      <c r="G427">
        <v>14</v>
      </c>
      <c r="H427">
        <v>21</v>
      </c>
      <c r="I427">
        <v>27</v>
      </c>
      <c r="J427" t="s">
        <v>3747</v>
      </c>
    </row>
    <row r="428" spans="1:10" x14ac:dyDescent="0.2">
      <c r="A428" t="s">
        <v>3535</v>
      </c>
      <c r="B428">
        <v>716</v>
      </c>
      <c r="C428">
        <v>42</v>
      </c>
      <c r="D428">
        <v>5</v>
      </c>
      <c r="E428">
        <v>89</v>
      </c>
      <c r="F428">
        <v>71</v>
      </c>
      <c r="G428">
        <v>15</v>
      </c>
      <c r="H428">
        <v>22</v>
      </c>
      <c r="I428">
        <v>28</v>
      </c>
      <c r="J428" t="s">
        <v>3747</v>
      </c>
    </row>
    <row r="429" spans="1:10" x14ac:dyDescent="0.2">
      <c r="A429" t="s">
        <v>3536</v>
      </c>
      <c r="B429">
        <v>1259</v>
      </c>
      <c r="C429">
        <v>43</v>
      </c>
      <c r="D429">
        <v>-12</v>
      </c>
      <c r="E429">
        <v>87</v>
      </c>
      <c r="F429">
        <v>72</v>
      </c>
      <c r="G429">
        <v>24</v>
      </c>
      <c r="H429">
        <v>31</v>
      </c>
      <c r="I429">
        <v>37</v>
      </c>
      <c r="J429" t="s">
        <v>3747</v>
      </c>
    </row>
    <row r="430" spans="1:10" x14ac:dyDescent="0.2">
      <c r="A430" t="s">
        <v>3537</v>
      </c>
      <c r="B430">
        <v>1424</v>
      </c>
      <c r="C430">
        <v>45</v>
      </c>
      <c r="D430">
        <v>-15</v>
      </c>
      <c r="E430">
        <v>86</v>
      </c>
      <c r="F430">
        <v>70</v>
      </c>
      <c r="G430">
        <v>14</v>
      </c>
      <c r="H430">
        <v>21</v>
      </c>
      <c r="I430">
        <v>27</v>
      </c>
      <c r="J430" t="s">
        <v>3747</v>
      </c>
    </row>
    <row r="431" spans="1:10" x14ac:dyDescent="0.2">
      <c r="A431" t="s">
        <v>3538</v>
      </c>
      <c r="B431">
        <v>1389</v>
      </c>
      <c r="C431">
        <v>47</v>
      </c>
      <c r="D431">
        <v>-26</v>
      </c>
      <c r="E431">
        <v>85</v>
      </c>
      <c r="F431">
        <v>69</v>
      </c>
      <c r="G431">
        <v>11</v>
      </c>
      <c r="H431">
        <v>18</v>
      </c>
      <c r="I431">
        <v>24</v>
      </c>
      <c r="J431" t="s">
        <v>3747</v>
      </c>
    </row>
    <row r="432" spans="1:10" x14ac:dyDescent="0.2">
      <c r="A432" t="s">
        <v>3539</v>
      </c>
      <c r="B432">
        <v>1280</v>
      </c>
      <c r="C432">
        <v>46</v>
      </c>
      <c r="D432">
        <v>-17</v>
      </c>
      <c r="E432">
        <v>85</v>
      </c>
      <c r="F432">
        <v>68</v>
      </c>
      <c r="G432">
        <v>5</v>
      </c>
      <c r="H432">
        <v>12</v>
      </c>
      <c r="I432">
        <v>18</v>
      </c>
      <c r="J432" t="s">
        <v>3747</v>
      </c>
    </row>
    <row r="433" spans="1:10" x14ac:dyDescent="0.2">
      <c r="A433" t="s">
        <v>3540</v>
      </c>
      <c r="B433">
        <v>1428</v>
      </c>
      <c r="C433">
        <v>46</v>
      </c>
      <c r="D433">
        <v>-16</v>
      </c>
      <c r="E433">
        <v>81</v>
      </c>
      <c r="F433">
        <v>67</v>
      </c>
      <c r="G433">
        <v>6</v>
      </c>
      <c r="H433">
        <v>13</v>
      </c>
      <c r="I433">
        <v>19</v>
      </c>
      <c r="J433" t="s">
        <v>3747</v>
      </c>
    </row>
    <row r="434" spans="1:10" x14ac:dyDescent="0.2">
      <c r="A434" t="s">
        <v>3541</v>
      </c>
      <c r="B434">
        <v>1060</v>
      </c>
      <c r="C434">
        <v>44</v>
      </c>
      <c r="D434">
        <v>-12</v>
      </c>
      <c r="E434">
        <v>88</v>
      </c>
      <c r="F434">
        <v>72</v>
      </c>
      <c r="G434">
        <v>23</v>
      </c>
      <c r="H434">
        <v>30</v>
      </c>
      <c r="I434">
        <v>36</v>
      </c>
      <c r="J434" t="s">
        <v>3747</v>
      </c>
    </row>
    <row r="435" spans="1:10" x14ac:dyDescent="0.2">
      <c r="A435" t="s">
        <v>3542</v>
      </c>
      <c r="B435">
        <v>1182</v>
      </c>
      <c r="C435">
        <v>46</v>
      </c>
      <c r="D435">
        <v>-17</v>
      </c>
      <c r="E435">
        <v>88</v>
      </c>
      <c r="F435">
        <v>72</v>
      </c>
      <c r="G435">
        <v>23</v>
      </c>
      <c r="H435">
        <v>30</v>
      </c>
      <c r="I435">
        <v>36</v>
      </c>
      <c r="J435" t="s">
        <v>3747</v>
      </c>
    </row>
    <row r="436" spans="1:10" x14ac:dyDescent="0.2">
      <c r="A436" t="s">
        <v>3543</v>
      </c>
      <c r="B436">
        <v>1352</v>
      </c>
      <c r="C436">
        <v>47</v>
      </c>
      <c r="D436">
        <v>-20</v>
      </c>
      <c r="E436">
        <v>81</v>
      </c>
      <c r="F436">
        <v>68</v>
      </c>
      <c r="G436">
        <v>12</v>
      </c>
      <c r="H436">
        <v>19</v>
      </c>
      <c r="I436">
        <v>25</v>
      </c>
      <c r="J436" t="s">
        <v>3747</v>
      </c>
    </row>
    <row r="437" spans="1:10" x14ac:dyDescent="0.2">
      <c r="A437" t="s">
        <v>3544</v>
      </c>
      <c r="B437">
        <v>1179</v>
      </c>
      <c r="C437">
        <v>48</v>
      </c>
      <c r="D437">
        <v>-23</v>
      </c>
      <c r="E437">
        <v>83</v>
      </c>
      <c r="F437">
        <v>67</v>
      </c>
      <c r="G437">
        <v>3</v>
      </c>
      <c r="H437">
        <v>10</v>
      </c>
      <c r="I437">
        <v>16</v>
      </c>
      <c r="J437" t="s">
        <v>3747</v>
      </c>
    </row>
    <row r="438" spans="1:10" x14ac:dyDescent="0.2">
      <c r="A438" t="s">
        <v>3545</v>
      </c>
      <c r="B438">
        <v>44</v>
      </c>
      <c r="C438">
        <v>-12</v>
      </c>
      <c r="D438">
        <v>88</v>
      </c>
      <c r="E438">
        <v>72</v>
      </c>
      <c r="F438">
        <v>23</v>
      </c>
      <c r="G438">
        <v>30</v>
      </c>
      <c r="H438">
        <v>36</v>
      </c>
      <c r="I438" t="s">
        <v>3747</v>
      </c>
    </row>
    <row r="439" spans="1:10" x14ac:dyDescent="0.2">
      <c r="A439" t="s">
        <v>3546</v>
      </c>
      <c r="B439">
        <v>834</v>
      </c>
      <c r="C439">
        <v>44</v>
      </c>
      <c r="D439">
        <v>-11</v>
      </c>
      <c r="E439">
        <v>88</v>
      </c>
      <c r="F439">
        <v>71</v>
      </c>
      <c r="G439">
        <v>17</v>
      </c>
      <c r="H439">
        <v>24</v>
      </c>
      <c r="I439">
        <v>30</v>
      </c>
      <c r="J439" t="s">
        <v>3747</v>
      </c>
    </row>
    <row r="440" spans="1:10" x14ac:dyDescent="0.2">
      <c r="A440" t="s">
        <v>3547</v>
      </c>
      <c r="B440">
        <v>1024</v>
      </c>
      <c r="C440">
        <v>44</v>
      </c>
      <c r="D440">
        <v>-12</v>
      </c>
      <c r="E440">
        <v>88</v>
      </c>
      <c r="F440">
        <v>72</v>
      </c>
      <c r="G440">
        <v>23</v>
      </c>
      <c r="H440">
        <v>30</v>
      </c>
      <c r="I440">
        <v>36</v>
      </c>
      <c r="J440" t="s">
        <v>3747</v>
      </c>
    </row>
    <row r="441" spans="1:10" x14ac:dyDescent="0.2">
      <c r="A441" t="s">
        <v>3548</v>
      </c>
      <c r="B441">
        <v>1297</v>
      </c>
      <c r="C441">
        <v>44</v>
      </c>
      <c r="D441">
        <v>-12</v>
      </c>
      <c r="E441">
        <v>85</v>
      </c>
      <c r="F441">
        <v>71</v>
      </c>
      <c r="G441">
        <v>22</v>
      </c>
      <c r="H441">
        <v>29</v>
      </c>
      <c r="I441">
        <v>35</v>
      </c>
      <c r="J441" t="s">
        <v>3747</v>
      </c>
    </row>
    <row r="442" spans="1:10" x14ac:dyDescent="0.2">
      <c r="A442" t="s">
        <v>3549</v>
      </c>
      <c r="B442">
        <v>1024</v>
      </c>
      <c r="C442">
        <v>45</v>
      </c>
      <c r="D442">
        <v>-14</v>
      </c>
      <c r="E442">
        <v>88</v>
      </c>
      <c r="F442">
        <v>71</v>
      </c>
      <c r="G442">
        <v>17</v>
      </c>
      <c r="H442">
        <v>24</v>
      </c>
      <c r="I442">
        <v>30</v>
      </c>
      <c r="J442" t="s">
        <v>3747</v>
      </c>
    </row>
    <row r="443" spans="1:10" x14ac:dyDescent="0.2">
      <c r="A443" t="s">
        <v>3550</v>
      </c>
      <c r="B443">
        <v>791</v>
      </c>
      <c r="C443">
        <v>47</v>
      </c>
      <c r="D443">
        <v>-6</v>
      </c>
      <c r="E443">
        <v>75</v>
      </c>
      <c r="F443">
        <v>62</v>
      </c>
      <c r="G443">
        <v>-9</v>
      </c>
      <c r="H443">
        <v>-2</v>
      </c>
      <c r="I443">
        <v>4</v>
      </c>
      <c r="J443" t="s">
        <v>3747</v>
      </c>
    </row>
    <row r="444" spans="1:10" x14ac:dyDescent="0.2">
      <c r="A444" t="s">
        <v>3551</v>
      </c>
      <c r="B444">
        <v>909</v>
      </c>
      <c r="C444">
        <v>47</v>
      </c>
      <c r="D444">
        <v>-21</v>
      </c>
      <c r="E444">
        <v>83</v>
      </c>
      <c r="F444">
        <v>68</v>
      </c>
      <c r="G444">
        <v>8</v>
      </c>
      <c r="H444">
        <v>15</v>
      </c>
      <c r="I444">
        <v>22</v>
      </c>
      <c r="J444" t="s">
        <v>3747</v>
      </c>
    </row>
    <row r="445" spans="1:10" x14ac:dyDescent="0.2">
      <c r="A445" t="s">
        <v>3552</v>
      </c>
      <c r="B445">
        <v>1127</v>
      </c>
      <c r="C445">
        <v>45</v>
      </c>
      <c r="D445">
        <v>-11</v>
      </c>
      <c r="E445">
        <v>88</v>
      </c>
      <c r="F445">
        <v>72</v>
      </c>
      <c r="G445">
        <v>23</v>
      </c>
      <c r="H445">
        <v>30</v>
      </c>
      <c r="I445">
        <v>36</v>
      </c>
      <c r="J445" t="s">
        <v>3747</v>
      </c>
    </row>
    <row r="446" spans="1:10" x14ac:dyDescent="0.2">
      <c r="A446" t="s">
        <v>3553</v>
      </c>
      <c r="B446">
        <v>656</v>
      </c>
      <c r="C446">
        <v>44</v>
      </c>
      <c r="D446">
        <v>-10</v>
      </c>
      <c r="E446">
        <v>88</v>
      </c>
      <c r="F446">
        <v>73</v>
      </c>
      <c r="G446">
        <v>29</v>
      </c>
      <c r="H446">
        <v>36</v>
      </c>
      <c r="I446">
        <v>42</v>
      </c>
      <c r="J446" t="s">
        <v>3747</v>
      </c>
    </row>
    <row r="447" spans="1:10" x14ac:dyDescent="0.2">
      <c r="A447" t="s">
        <v>3554</v>
      </c>
      <c r="B447">
        <v>26</v>
      </c>
      <c r="C447">
        <v>30</v>
      </c>
      <c r="D447">
        <v>35</v>
      </c>
      <c r="E447">
        <v>91</v>
      </c>
      <c r="F447">
        <v>78</v>
      </c>
      <c r="G447">
        <v>56</v>
      </c>
      <c r="H447">
        <v>63</v>
      </c>
      <c r="I447">
        <v>69</v>
      </c>
      <c r="J447" t="s">
        <v>3747</v>
      </c>
    </row>
    <row r="448" spans="1:10" x14ac:dyDescent="0.2">
      <c r="A448" t="s">
        <v>3555</v>
      </c>
      <c r="B448">
        <v>173</v>
      </c>
      <c r="C448">
        <v>34</v>
      </c>
      <c r="D448">
        <v>19</v>
      </c>
      <c r="E448">
        <v>94</v>
      </c>
      <c r="F448">
        <v>77</v>
      </c>
      <c r="G448">
        <v>44</v>
      </c>
      <c r="H448">
        <v>51</v>
      </c>
      <c r="I448">
        <v>57</v>
      </c>
      <c r="J448" t="s">
        <v>3747</v>
      </c>
    </row>
    <row r="449" spans="1:10" x14ac:dyDescent="0.2">
      <c r="A449" t="s">
        <v>3556</v>
      </c>
      <c r="B449">
        <v>219</v>
      </c>
      <c r="C449">
        <v>33</v>
      </c>
      <c r="D449">
        <v>25</v>
      </c>
      <c r="E449">
        <v>94</v>
      </c>
      <c r="F449">
        <v>76</v>
      </c>
      <c r="G449">
        <v>37</v>
      </c>
      <c r="H449">
        <v>44</v>
      </c>
      <c r="I449">
        <v>50</v>
      </c>
      <c r="J449" t="s">
        <v>3747</v>
      </c>
    </row>
    <row r="450" spans="1:10" x14ac:dyDescent="0.2">
      <c r="A450" t="s">
        <v>3557</v>
      </c>
      <c r="B450">
        <v>131</v>
      </c>
      <c r="C450">
        <v>33</v>
      </c>
      <c r="D450">
        <v>20</v>
      </c>
      <c r="E450">
        <v>93</v>
      </c>
      <c r="F450">
        <v>77</v>
      </c>
      <c r="G450">
        <v>46</v>
      </c>
      <c r="H450">
        <v>53</v>
      </c>
      <c r="I450">
        <v>59</v>
      </c>
      <c r="J450" t="s">
        <v>3747</v>
      </c>
    </row>
    <row r="451" spans="1:10" x14ac:dyDescent="0.2">
      <c r="A451" t="s">
        <v>3558</v>
      </c>
      <c r="B451">
        <v>154</v>
      </c>
      <c r="C451">
        <v>33</v>
      </c>
      <c r="D451">
        <v>24</v>
      </c>
      <c r="E451">
        <v>94</v>
      </c>
      <c r="F451">
        <v>78</v>
      </c>
      <c r="G451">
        <v>51</v>
      </c>
      <c r="H451">
        <v>58</v>
      </c>
      <c r="I451">
        <v>64</v>
      </c>
      <c r="J451" t="s">
        <v>3747</v>
      </c>
    </row>
    <row r="452" spans="1:10" x14ac:dyDescent="0.2">
      <c r="A452" t="s">
        <v>3559</v>
      </c>
      <c r="B452">
        <v>151</v>
      </c>
      <c r="C452">
        <v>31</v>
      </c>
      <c r="D452">
        <v>27</v>
      </c>
      <c r="E452">
        <v>94</v>
      </c>
      <c r="F452">
        <v>77</v>
      </c>
      <c r="G452">
        <v>44</v>
      </c>
      <c r="H452">
        <v>51</v>
      </c>
      <c r="I452">
        <v>57</v>
      </c>
      <c r="J452" t="s">
        <v>3747</v>
      </c>
    </row>
    <row r="453" spans="1:10" x14ac:dyDescent="0.2">
      <c r="A453" t="s">
        <v>3560</v>
      </c>
      <c r="B453">
        <v>310</v>
      </c>
      <c r="C453">
        <v>32</v>
      </c>
      <c r="D453">
        <v>25</v>
      </c>
      <c r="E453">
        <v>93</v>
      </c>
      <c r="F453">
        <v>76</v>
      </c>
      <c r="G453">
        <v>36</v>
      </c>
      <c r="H453">
        <v>46</v>
      </c>
      <c r="I453">
        <v>52</v>
      </c>
      <c r="J453" t="s">
        <v>3747</v>
      </c>
    </row>
    <row r="454" spans="1:10" x14ac:dyDescent="0.2">
      <c r="A454" t="s">
        <v>3561</v>
      </c>
      <c r="B454">
        <v>238</v>
      </c>
      <c r="C454">
        <v>31</v>
      </c>
      <c r="D454">
        <v>27</v>
      </c>
      <c r="E454">
        <v>94</v>
      </c>
      <c r="F454">
        <v>77</v>
      </c>
      <c r="G454">
        <v>44</v>
      </c>
      <c r="H454">
        <v>51</v>
      </c>
      <c r="I454">
        <v>57</v>
      </c>
      <c r="J454" t="s">
        <v>3747</v>
      </c>
    </row>
    <row r="455" spans="1:10" x14ac:dyDescent="0.2">
      <c r="A455" t="s">
        <v>3562</v>
      </c>
      <c r="B455">
        <v>413</v>
      </c>
      <c r="C455">
        <v>31</v>
      </c>
      <c r="D455">
        <v>28</v>
      </c>
      <c r="E455">
        <v>92</v>
      </c>
      <c r="F455">
        <v>76</v>
      </c>
      <c r="G455">
        <v>41</v>
      </c>
      <c r="H455">
        <v>48</v>
      </c>
      <c r="I455">
        <v>54</v>
      </c>
      <c r="J455" t="s">
        <v>3747</v>
      </c>
    </row>
    <row r="456" spans="1:10" x14ac:dyDescent="0.2">
      <c r="A456" t="s">
        <v>3563</v>
      </c>
      <c r="B456">
        <v>317</v>
      </c>
      <c r="C456">
        <v>32</v>
      </c>
      <c r="D456">
        <v>25</v>
      </c>
      <c r="E456">
        <v>94</v>
      </c>
      <c r="F456">
        <v>76</v>
      </c>
      <c r="G456">
        <v>37</v>
      </c>
      <c r="H456">
        <v>44</v>
      </c>
      <c r="I456">
        <v>50</v>
      </c>
      <c r="J456" t="s">
        <v>3747</v>
      </c>
    </row>
    <row r="457" spans="1:10" x14ac:dyDescent="0.2">
      <c r="A457" t="s">
        <v>3564</v>
      </c>
      <c r="B457">
        <v>272</v>
      </c>
      <c r="C457">
        <v>31</v>
      </c>
      <c r="D457">
        <v>27</v>
      </c>
      <c r="E457">
        <v>94</v>
      </c>
      <c r="F457">
        <v>78</v>
      </c>
      <c r="G457">
        <v>51</v>
      </c>
      <c r="H457">
        <v>58</v>
      </c>
      <c r="I457">
        <v>64</v>
      </c>
      <c r="J457" t="s">
        <v>3747</v>
      </c>
    </row>
    <row r="458" spans="1:10" x14ac:dyDescent="0.2">
      <c r="A458" t="s">
        <v>3565</v>
      </c>
      <c r="B458">
        <v>361</v>
      </c>
      <c r="C458">
        <v>34</v>
      </c>
      <c r="D458">
        <v>22</v>
      </c>
      <c r="E458">
        <v>94</v>
      </c>
      <c r="F458">
        <v>76</v>
      </c>
      <c r="G458">
        <v>37</v>
      </c>
      <c r="H458">
        <v>44</v>
      </c>
      <c r="I458">
        <v>50</v>
      </c>
      <c r="J458" t="s">
        <v>3747</v>
      </c>
    </row>
    <row r="459" spans="1:10" x14ac:dyDescent="0.2">
      <c r="A459" t="s">
        <v>3566</v>
      </c>
      <c r="B459">
        <v>106</v>
      </c>
      <c r="C459">
        <v>32</v>
      </c>
      <c r="D459">
        <v>26</v>
      </c>
      <c r="E459">
        <v>95</v>
      </c>
      <c r="F459">
        <v>78</v>
      </c>
      <c r="G459">
        <v>49</v>
      </c>
      <c r="H459">
        <v>56</v>
      </c>
      <c r="I459">
        <v>62</v>
      </c>
      <c r="J459" t="s">
        <v>3747</v>
      </c>
    </row>
    <row r="460" spans="1:10" x14ac:dyDescent="0.2">
      <c r="A460" t="s">
        <v>3567</v>
      </c>
      <c r="B460">
        <v>341</v>
      </c>
      <c r="C460">
        <v>37</v>
      </c>
      <c r="D460">
        <v>13</v>
      </c>
      <c r="E460">
        <v>94</v>
      </c>
      <c r="F460">
        <v>77</v>
      </c>
      <c r="G460">
        <v>44</v>
      </c>
      <c r="H460">
        <v>51</v>
      </c>
      <c r="I460">
        <v>57</v>
      </c>
      <c r="J460" t="s">
        <v>3747</v>
      </c>
    </row>
    <row r="461" spans="1:10" x14ac:dyDescent="0.2">
      <c r="A461" t="s">
        <v>3568</v>
      </c>
      <c r="B461">
        <v>778</v>
      </c>
      <c r="C461">
        <v>39</v>
      </c>
      <c r="D461">
        <v>5</v>
      </c>
      <c r="E461">
        <v>92</v>
      </c>
      <c r="F461">
        <v>75</v>
      </c>
      <c r="G461">
        <v>34</v>
      </c>
      <c r="H461">
        <v>41</v>
      </c>
      <c r="I461">
        <v>47</v>
      </c>
      <c r="J461" t="s">
        <v>3747</v>
      </c>
    </row>
    <row r="462" spans="1:10" x14ac:dyDescent="0.2">
      <c r="A462" t="s">
        <v>3569</v>
      </c>
      <c r="B462">
        <v>946</v>
      </c>
      <c r="C462">
        <v>37</v>
      </c>
      <c r="D462">
        <v>8</v>
      </c>
      <c r="E462">
        <v>93</v>
      </c>
      <c r="F462">
        <v>75</v>
      </c>
      <c r="G462">
        <v>33</v>
      </c>
      <c r="H462">
        <v>40</v>
      </c>
      <c r="I462">
        <v>46</v>
      </c>
      <c r="J462" t="s">
        <v>3747</v>
      </c>
    </row>
    <row r="463" spans="1:10" x14ac:dyDescent="0.2">
      <c r="A463" t="s">
        <v>3570</v>
      </c>
      <c r="B463">
        <v>712</v>
      </c>
      <c r="C463">
        <v>39</v>
      </c>
      <c r="D463">
        <v>3</v>
      </c>
      <c r="E463">
        <v>93</v>
      </c>
      <c r="F463">
        <v>76</v>
      </c>
      <c r="G463">
        <v>39</v>
      </c>
      <c r="H463">
        <v>46</v>
      </c>
      <c r="I463">
        <v>52</v>
      </c>
      <c r="J463" t="s">
        <v>3747</v>
      </c>
    </row>
    <row r="464" spans="1:10" x14ac:dyDescent="0.2">
      <c r="A464" t="s">
        <v>3571</v>
      </c>
      <c r="B464">
        <v>770</v>
      </c>
      <c r="C464">
        <v>38</v>
      </c>
      <c r="D464">
        <v>7</v>
      </c>
      <c r="E464">
        <v>95</v>
      </c>
      <c r="F464">
        <v>74</v>
      </c>
      <c r="G464">
        <v>23</v>
      </c>
      <c r="H464">
        <v>30</v>
      </c>
      <c r="I464">
        <v>36</v>
      </c>
      <c r="J464" t="s">
        <v>3747</v>
      </c>
    </row>
    <row r="465" spans="1:10" x14ac:dyDescent="0.2">
      <c r="A465" t="s">
        <v>3572</v>
      </c>
      <c r="B465">
        <v>980</v>
      </c>
      <c r="C465">
        <v>37</v>
      </c>
      <c r="D465">
        <v>11</v>
      </c>
      <c r="E465">
        <v>94</v>
      </c>
      <c r="F465">
        <v>75</v>
      </c>
      <c r="G465">
        <v>31</v>
      </c>
      <c r="H465">
        <v>38</v>
      </c>
      <c r="I465">
        <v>44</v>
      </c>
      <c r="J465" t="s">
        <v>3747</v>
      </c>
    </row>
    <row r="466" spans="1:10" x14ac:dyDescent="0.2">
      <c r="A466" t="s">
        <v>3573</v>
      </c>
      <c r="B466">
        <v>791</v>
      </c>
      <c r="C466">
        <v>39</v>
      </c>
      <c r="D466">
        <v>4</v>
      </c>
      <c r="E466">
        <v>93</v>
      </c>
      <c r="F466">
        <v>75</v>
      </c>
      <c r="G466">
        <v>33</v>
      </c>
      <c r="H466">
        <v>40</v>
      </c>
      <c r="I466">
        <v>46</v>
      </c>
      <c r="J466" t="s">
        <v>3747</v>
      </c>
    </row>
    <row r="467" spans="1:10" x14ac:dyDescent="0.2">
      <c r="A467" t="s">
        <v>3574</v>
      </c>
      <c r="B467">
        <v>966</v>
      </c>
      <c r="C467">
        <v>40</v>
      </c>
      <c r="D467">
        <v>0</v>
      </c>
      <c r="E467">
        <v>93</v>
      </c>
      <c r="F467">
        <v>74</v>
      </c>
      <c r="G467">
        <v>27</v>
      </c>
      <c r="H467">
        <v>34</v>
      </c>
      <c r="I467">
        <v>40</v>
      </c>
      <c r="J467" t="s">
        <v>3747</v>
      </c>
    </row>
    <row r="468" spans="1:10" x14ac:dyDescent="0.2">
      <c r="A468" t="s">
        <v>3575</v>
      </c>
      <c r="B468">
        <v>823</v>
      </c>
      <c r="C468">
        <v>39</v>
      </c>
      <c r="D468">
        <v>4</v>
      </c>
      <c r="E468">
        <v>94</v>
      </c>
      <c r="F468">
        <v>74</v>
      </c>
      <c r="G468">
        <v>25</v>
      </c>
      <c r="H468">
        <v>32</v>
      </c>
      <c r="I468">
        <v>38</v>
      </c>
      <c r="J468" t="s">
        <v>3747</v>
      </c>
    </row>
    <row r="469" spans="1:10" x14ac:dyDescent="0.2">
      <c r="A469" t="s">
        <v>3576</v>
      </c>
      <c r="B469">
        <v>867</v>
      </c>
      <c r="C469">
        <v>39</v>
      </c>
      <c r="D469">
        <v>3</v>
      </c>
      <c r="E469">
        <v>94</v>
      </c>
      <c r="F469">
        <v>74</v>
      </c>
      <c r="G469">
        <v>25</v>
      </c>
      <c r="H469">
        <v>32</v>
      </c>
      <c r="I469">
        <v>38</v>
      </c>
      <c r="J469" t="s">
        <v>3747</v>
      </c>
    </row>
    <row r="470" spans="1:10" x14ac:dyDescent="0.2">
      <c r="A470" t="s">
        <v>3577</v>
      </c>
      <c r="B470">
        <v>479</v>
      </c>
      <c r="C470">
        <v>36</v>
      </c>
      <c r="D470">
        <v>13</v>
      </c>
      <c r="E470">
        <v>92</v>
      </c>
      <c r="F470">
        <v>76</v>
      </c>
      <c r="G470">
        <v>41</v>
      </c>
      <c r="H470">
        <v>48</v>
      </c>
      <c r="I470">
        <v>54</v>
      </c>
      <c r="J470" t="s">
        <v>3747</v>
      </c>
    </row>
    <row r="471" spans="1:10" x14ac:dyDescent="0.2">
      <c r="A471" t="s">
        <v>3578</v>
      </c>
      <c r="B471">
        <v>987</v>
      </c>
      <c r="C471">
        <v>38</v>
      </c>
      <c r="D471">
        <v>9</v>
      </c>
      <c r="E471">
        <v>91</v>
      </c>
      <c r="F471">
        <v>75</v>
      </c>
      <c r="G471">
        <v>36</v>
      </c>
      <c r="H471">
        <v>43</v>
      </c>
      <c r="I471">
        <v>49</v>
      </c>
      <c r="J471" t="s">
        <v>3747</v>
      </c>
    </row>
    <row r="472" spans="1:10" x14ac:dyDescent="0.2">
      <c r="A472" t="s">
        <v>3579</v>
      </c>
      <c r="B472">
        <v>825</v>
      </c>
      <c r="C472">
        <v>39</v>
      </c>
      <c r="D472">
        <v>2</v>
      </c>
      <c r="E472">
        <v>93</v>
      </c>
      <c r="F472">
        <v>76</v>
      </c>
      <c r="G472">
        <v>39</v>
      </c>
      <c r="H472">
        <v>46</v>
      </c>
      <c r="I472">
        <v>52</v>
      </c>
      <c r="J472" t="s">
        <v>3747</v>
      </c>
    </row>
    <row r="473" spans="1:10" x14ac:dyDescent="0.2">
      <c r="A473" t="s">
        <v>3580</v>
      </c>
      <c r="B473">
        <v>535</v>
      </c>
      <c r="C473">
        <v>38</v>
      </c>
      <c r="D473">
        <v>8</v>
      </c>
      <c r="E473">
        <v>93</v>
      </c>
      <c r="F473">
        <v>75</v>
      </c>
      <c r="G473">
        <v>33</v>
      </c>
      <c r="H473">
        <v>40</v>
      </c>
      <c r="I473">
        <v>46</v>
      </c>
      <c r="J473" t="s">
        <v>3747</v>
      </c>
    </row>
    <row r="474" spans="1:10" x14ac:dyDescent="0.2">
      <c r="A474" t="s">
        <v>3581</v>
      </c>
      <c r="B474">
        <v>580</v>
      </c>
      <c r="C474">
        <v>38</v>
      </c>
      <c r="D474">
        <v>8</v>
      </c>
      <c r="E474">
        <v>94</v>
      </c>
      <c r="F474">
        <v>75</v>
      </c>
      <c r="G474">
        <v>31</v>
      </c>
      <c r="H474">
        <v>38</v>
      </c>
      <c r="I474">
        <v>44</v>
      </c>
      <c r="J474" t="s">
        <v>3747</v>
      </c>
    </row>
    <row r="475" spans="1:10" x14ac:dyDescent="0.2">
      <c r="A475" t="s">
        <v>3582</v>
      </c>
      <c r="B475">
        <v>909</v>
      </c>
      <c r="C475">
        <v>38</v>
      </c>
      <c r="D475">
        <v>4</v>
      </c>
      <c r="E475">
        <v>92</v>
      </c>
      <c r="F475">
        <v>76</v>
      </c>
      <c r="G475">
        <v>41</v>
      </c>
      <c r="H475">
        <v>48</v>
      </c>
      <c r="I475">
        <v>54</v>
      </c>
      <c r="J475" t="s">
        <v>3747</v>
      </c>
    </row>
    <row r="476" spans="1:10" x14ac:dyDescent="0.2">
      <c r="A476" t="s">
        <v>3583</v>
      </c>
      <c r="B476">
        <v>315</v>
      </c>
      <c r="C476">
        <v>36</v>
      </c>
      <c r="D476">
        <v>15</v>
      </c>
      <c r="E476">
        <v>95</v>
      </c>
      <c r="F476">
        <v>76</v>
      </c>
      <c r="G476">
        <v>36</v>
      </c>
      <c r="H476">
        <v>43</v>
      </c>
      <c r="I476">
        <v>49</v>
      </c>
      <c r="J476" t="s">
        <v>3747</v>
      </c>
    </row>
    <row r="477" spans="1:10" x14ac:dyDescent="0.2">
      <c r="A477" t="s">
        <v>3584</v>
      </c>
      <c r="B477">
        <v>886</v>
      </c>
      <c r="C477">
        <v>40</v>
      </c>
      <c r="D477">
        <v>6</v>
      </c>
      <c r="E477">
        <v>93</v>
      </c>
      <c r="F477">
        <v>73</v>
      </c>
      <c r="G477">
        <v>20</v>
      </c>
      <c r="H477">
        <v>27</v>
      </c>
      <c r="I477">
        <v>33</v>
      </c>
      <c r="J477" t="s">
        <v>3747</v>
      </c>
    </row>
    <row r="478" spans="1:10" x14ac:dyDescent="0.2">
      <c r="A478" t="s">
        <v>3585</v>
      </c>
      <c r="B478">
        <v>1268</v>
      </c>
      <c r="C478">
        <v>37</v>
      </c>
      <c r="D478">
        <v>9</v>
      </c>
      <c r="E478">
        <v>92</v>
      </c>
      <c r="F478">
        <v>74</v>
      </c>
      <c r="G478">
        <v>28</v>
      </c>
      <c r="H478">
        <v>35</v>
      </c>
      <c r="I478">
        <v>41</v>
      </c>
      <c r="J478" t="s">
        <v>3747</v>
      </c>
    </row>
    <row r="479" spans="1:10" x14ac:dyDescent="0.2">
      <c r="A479" t="s">
        <v>3586</v>
      </c>
      <c r="B479">
        <v>869</v>
      </c>
      <c r="C479">
        <v>38</v>
      </c>
      <c r="D479">
        <v>7</v>
      </c>
      <c r="E479">
        <v>93</v>
      </c>
      <c r="F479">
        <v>76</v>
      </c>
      <c r="G479">
        <v>39</v>
      </c>
      <c r="H479">
        <v>46</v>
      </c>
      <c r="I479">
        <v>52</v>
      </c>
      <c r="J479" t="s">
        <v>3747</v>
      </c>
    </row>
    <row r="480" spans="1:10" x14ac:dyDescent="0.2">
      <c r="A480" t="s">
        <v>3587</v>
      </c>
      <c r="B480">
        <v>3567</v>
      </c>
      <c r="C480">
        <v>45</v>
      </c>
      <c r="D480">
        <v>-7</v>
      </c>
      <c r="E480">
        <v>90</v>
      </c>
      <c r="F480">
        <v>62</v>
      </c>
      <c r="G480">
        <v>-31</v>
      </c>
      <c r="H480">
        <v>-24</v>
      </c>
      <c r="I480">
        <v>-18</v>
      </c>
      <c r="J480" t="s">
        <v>831</v>
      </c>
    </row>
    <row r="481" spans="1:10" x14ac:dyDescent="0.2">
      <c r="A481" t="s">
        <v>3588</v>
      </c>
      <c r="B481">
        <v>4475</v>
      </c>
      <c r="C481">
        <v>45</v>
      </c>
      <c r="D481">
        <v>-12</v>
      </c>
      <c r="E481">
        <v>87</v>
      </c>
      <c r="F481">
        <v>60</v>
      </c>
      <c r="G481">
        <v>-36</v>
      </c>
      <c r="H481">
        <v>-29</v>
      </c>
      <c r="I481">
        <v>-23</v>
      </c>
      <c r="J481" t="s">
        <v>831</v>
      </c>
    </row>
    <row r="482" spans="1:10" x14ac:dyDescent="0.2">
      <c r="A482" t="s">
        <v>3589</v>
      </c>
      <c r="B482">
        <v>5553</v>
      </c>
      <c r="C482">
        <v>46</v>
      </c>
      <c r="D482">
        <v>-14</v>
      </c>
      <c r="E482">
        <v>84</v>
      </c>
      <c r="F482">
        <v>56</v>
      </c>
      <c r="G482">
        <v>-51</v>
      </c>
      <c r="H482">
        <v>-44</v>
      </c>
      <c r="I482">
        <v>-38</v>
      </c>
      <c r="J482" t="s">
        <v>831</v>
      </c>
    </row>
    <row r="483" spans="1:10" x14ac:dyDescent="0.2">
      <c r="A483" t="s">
        <v>3590</v>
      </c>
      <c r="B483">
        <v>3838</v>
      </c>
      <c r="C483">
        <v>48</v>
      </c>
      <c r="D483">
        <v>-16</v>
      </c>
      <c r="E483">
        <v>84</v>
      </c>
      <c r="F483">
        <v>59</v>
      </c>
      <c r="G483">
        <v>-36</v>
      </c>
      <c r="H483">
        <v>-29</v>
      </c>
      <c r="I483">
        <v>-23</v>
      </c>
      <c r="J483" t="s">
        <v>831</v>
      </c>
    </row>
    <row r="484" spans="1:10" x14ac:dyDescent="0.2">
      <c r="A484" t="s">
        <v>3591</v>
      </c>
      <c r="B484">
        <v>2760</v>
      </c>
      <c r="C484">
        <v>48</v>
      </c>
      <c r="D484">
        <v>-17</v>
      </c>
      <c r="E484">
        <v>90</v>
      </c>
      <c r="F484">
        <v>63</v>
      </c>
      <c r="G484">
        <v>-28</v>
      </c>
      <c r="H484">
        <v>-21</v>
      </c>
      <c r="I484">
        <v>-15</v>
      </c>
      <c r="J484" t="s">
        <v>831</v>
      </c>
    </row>
    <row r="485" spans="1:10" x14ac:dyDescent="0.2">
      <c r="A485" t="s">
        <v>3592</v>
      </c>
      <c r="B485">
        <v>2456</v>
      </c>
      <c r="C485">
        <v>47</v>
      </c>
      <c r="D485">
        <v>-13</v>
      </c>
      <c r="E485">
        <v>92</v>
      </c>
      <c r="F485">
        <v>64</v>
      </c>
      <c r="G485">
        <v>-26</v>
      </c>
      <c r="H485">
        <v>-19</v>
      </c>
      <c r="I485">
        <v>-13</v>
      </c>
      <c r="J485" t="s">
        <v>831</v>
      </c>
    </row>
    <row r="486" spans="1:10" x14ac:dyDescent="0.2">
      <c r="A486" t="s">
        <v>3593</v>
      </c>
      <c r="B486">
        <v>3652</v>
      </c>
      <c r="C486">
        <v>47</v>
      </c>
      <c r="D486">
        <v>-13</v>
      </c>
      <c r="E486">
        <v>88</v>
      </c>
      <c r="F486">
        <v>60</v>
      </c>
      <c r="G486">
        <v>-38</v>
      </c>
      <c r="H486">
        <v>-31</v>
      </c>
      <c r="I486">
        <v>-25</v>
      </c>
      <c r="J486" t="s">
        <v>831</v>
      </c>
    </row>
    <row r="487" spans="1:10" x14ac:dyDescent="0.2">
      <c r="A487" t="s">
        <v>3594</v>
      </c>
      <c r="B487">
        <v>3525</v>
      </c>
      <c r="C487">
        <v>47</v>
      </c>
      <c r="D487">
        <v>-11</v>
      </c>
      <c r="E487">
        <v>89</v>
      </c>
      <c r="F487">
        <v>61</v>
      </c>
      <c r="G487">
        <v>-11</v>
      </c>
      <c r="H487">
        <v>-4</v>
      </c>
      <c r="I487">
        <v>2</v>
      </c>
      <c r="J487" t="s">
        <v>831</v>
      </c>
    </row>
    <row r="488" spans="1:10" x14ac:dyDescent="0.2">
      <c r="A488" t="s">
        <v>3595</v>
      </c>
      <c r="B488">
        <v>3200</v>
      </c>
      <c r="C488">
        <v>48</v>
      </c>
      <c r="D488">
        <v>-19</v>
      </c>
      <c r="E488">
        <v>90</v>
      </c>
      <c r="F488">
        <v>62</v>
      </c>
      <c r="G488">
        <v>-33</v>
      </c>
      <c r="H488">
        <v>-26</v>
      </c>
      <c r="I488">
        <v>-20</v>
      </c>
      <c r="J488" t="s">
        <v>831</v>
      </c>
    </row>
    <row r="489" spans="1:10" x14ac:dyDescent="0.2">
      <c r="A489" t="s">
        <v>3596</v>
      </c>
      <c r="B489">
        <v>3828</v>
      </c>
      <c r="C489">
        <v>46</v>
      </c>
      <c r="D489">
        <v>-10</v>
      </c>
      <c r="E489">
        <v>87</v>
      </c>
      <c r="F489">
        <v>59</v>
      </c>
      <c r="G489">
        <v>-41</v>
      </c>
      <c r="H489">
        <v>-34</v>
      </c>
      <c r="I489">
        <v>-28</v>
      </c>
      <c r="J489" t="s">
        <v>831</v>
      </c>
    </row>
    <row r="490" spans="1:10" x14ac:dyDescent="0.2">
      <c r="A490" t="s">
        <v>3597</v>
      </c>
      <c r="B490">
        <v>6780</v>
      </c>
      <c r="C490">
        <v>48</v>
      </c>
      <c r="D490">
        <v>-3</v>
      </c>
      <c r="E490">
        <v>86</v>
      </c>
      <c r="F490">
        <v>61</v>
      </c>
      <c r="G490">
        <v>-29</v>
      </c>
      <c r="H490">
        <v>-22</v>
      </c>
      <c r="I490">
        <v>-16</v>
      </c>
      <c r="J490" t="s">
        <v>831</v>
      </c>
    </row>
    <row r="491" spans="1:10" x14ac:dyDescent="0.2">
      <c r="A491" t="s">
        <v>3598</v>
      </c>
      <c r="B491">
        <v>4122</v>
      </c>
      <c r="C491">
        <v>47</v>
      </c>
      <c r="D491">
        <v>-12</v>
      </c>
      <c r="E491">
        <v>86</v>
      </c>
      <c r="F491">
        <v>60</v>
      </c>
      <c r="G491">
        <v>-34</v>
      </c>
      <c r="H491">
        <v>-27</v>
      </c>
      <c r="I491">
        <v>-21</v>
      </c>
      <c r="J491" t="s">
        <v>831</v>
      </c>
    </row>
    <row r="492" spans="1:10" x14ac:dyDescent="0.2">
      <c r="A492" t="s">
        <v>262</v>
      </c>
      <c r="B492">
        <v>4656</v>
      </c>
      <c r="C492">
        <v>45</v>
      </c>
      <c r="D492">
        <v>-14</v>
      </c>
      <c r="E492">
        <v>87</v>
      </c>
      <c r="F492">
        <v>60</v>
      </c>
      <c r="G492">
        <v>-36</v>
      </c>
      <c r="H492">
        <v>-29</v>
      </c>
      <c r="I492">
        <v>-23</v>
      </c>
      <c r="J492" t="s">
        <v>831</v>
      </c>
    </row>
    <row r="493" spans="1:10" x14ac:dyDescent="0.2">
      <c r="A493" t="s">
        <v>263</v>
      </c>
      <c r="B493">
        <v>2634</v>
      </c>
      <c r="C493">
        <v>46</v>
      </c>
      <c r="D493">
        <v>-13</v>
      </c>
      <c r="E493">
        <v>93</v>
      </c>
      <c r="F493">
        <v>65</v>
      </c>
      <c r="G493">
        <v>-23</v>
      </c>
      <c r="H493">
        <v>-16</v>
      </c>
      <c r="I493">
        <v>-10</v>
      </c>
      <c r="J493" t="s">
        <v>831</v>
      </c>
    </row>
    <row r="494" spans="1:10" x14ac:dyDescent="0.2">
      <c r="A494" t="s">
        <v>264</v>
      </c>
      <c r="B494">
        <v>3190</v>
      </c>
      <c r="C494">
        <v>46</v>
      </c>
      <c r="D494">
        <v>-1</v>
      </c>
      <c r="E494">
        <v>88</v>
      </c>
      <c r="F494">
        <v>61</v>
      </c>
      <c r="G494">
        <v>-33</v>
      </c>
      <c r="H494">
        <v>-26</v>
      </c>
      <c r="I494">
        <v>-20</v>
      </c>
      <c r="J494" t="s">
        <v>831</v>
      </c>
    </row>
    <row r="495" spans="1:10" x14ac:dyDescent="0.2">
      <c r="A495" t="s">
        <v>265</v>
      </c>
      <c r="B495">
        <v>1323</v>
      </c>
      <c r="C495">
        <v>40</v>
      </c>
      <c r="D495">
        <v>-2</v>
      </c>
      <c r="E495">
        <v>95</v>
      </c>
      <c r="F495">
        <v>74</v>
      </c>
      <c r="G495">
        <v>28</v>
      </c>
      <c r="H495">
        <v>35</v>
      </c>
      <c r="I495">
        <v>41</v>
      </c>
      <c r="J495" t="s">
        <v>3747</v>
      </c>
    </row>
    <row r="496" spans="1:10" x14ac:dyDescent="0.2">
      <c r="A496" t="s">
        <v>266</v>
      </c>
      <c r="B496">
        <v>1047</v>
      </c>
      <c r="C496">
        <v>41</v>
      </c>
      <c r="D496">
        <v>1</v>
      </c>
      <c r="E496">
        <v>91</v>
      </c>
      <c r="F496">
        <v>75</v>
      </c>
      <c r="G496">
        <v>36</v>
      </c>
      <c r="H496">
        <v>43</v>
      </c>
      <c r="I496">
        <v>49</v>
      </c>
      <c r="J496" t="s">
        <v>3747</v>
      </c>
    </row>
    <row r="497" spans="1:10" x14ac:dyDescent="0.2">
      <c r="A497" t="s">
        <v>267</v>
      </c>
      <c r="B497">
        <v>3296</v>
      </c>
      <c r="C497">
        <v>42</v>
      </c>
      <c r="D497">
        <v>-3</v>
      </c>
      <c r="E497">
        <v>94</v>
      </c>
      <c r="F497">
        <v>65</v>
      </c>
      <c r="G497">
        <v>-22</v>
      </c>
      <c r="H497">
        <v>-15</v>
      </c>
      <c r="I497">
        <v>-9</v>
      </c>
      <c r="J497" t="s">
        <v>831</v>
      </c>
    </row>
    <row r="498" spans="1:10" x14ac:dyDescent="0.2">
      <c r="A498" t="s">
        <v>268</v>
      </c>
      <c r="B498">
        <v>1443</v>
      </c>
      <c r="C498">
        <v>41</v>
      </c>
      <c r="D498">
        <v>-2</v>
      </c>
      <c r="E498">
        <v>95</v>
      </c>
      <c r="F498">
        <v>73</v>
      </c>
      <c r="G498">
        <v>17</v>
      </c>
      <c r="H498">
        <v>24</v>
      </c>
      <c r="I498">
        <v>30</v>
      </c>
      <c r="J498" t="s">
        <v>3747</v>
      </c>
    </row>
    <row r="499" spans="1:10" x14ac:dyDescent="0.2">
      <c r="A499" t="s">
        <v>269</v>
      </c>
      <c r="B499">
        <v>1203</v>
      </c>
      <c r="C499">
        <v>41</v>
      </c>
      <c r="D499">
        <v>-2</v>
      </c>
      <c r="E499">
        <v>95</v>
      </c>
      <c r="F499">
        <v>74</v>
      </c>
      <c r="G499">
        <v>23</v>
      </c>
      <c r="H499">
        <v>30</v>
      </c>
      <c r="I499">
        <v>36</v>
      </c>
      <c r="J499" t="s">
        <v>3747</v>
      </c>
    </row>
    <row r="500" spans="1:10" x14ac:dyDescent="0.2">
      <c r="A500" t="s">
        <v>270</v>
      </c>
      <c r="B500">
        <v>1841</v>
      </c>
      <c r="C500">
        <v>41</v>
      </c>
      <c r="D500">
        <v>-2</v>
      </c>
      <c r="E500">
        <v>93</v>
      </c>
      <c r="F500">
        <v>72</v>
      </c>
      <c r="G500">
        <v>15</v>
      </c>
      <c r="H500">
        <v>22</v>
      </c>
      <c r="I500">
        <v>28</v>
      </c>
      <c r="J500" t="s">
        <v>831</v>
      </c>
    </row>
    <row r="501" spans="1:10" x14ac:dyDescent="0.2">
      <c r="A501" t="s">
        <v>271</v>
      </c>
      <c r="B501">
        <v>1954</v>
      </c>
      <c r="C501">
        <v>40</v>
      </c>
      <c r="D501">
        <v>-3</v>
      </c>
      <c r="E501">
        <v>94</v>
      </c>
      <c r="F501">
        <v>71</v>
      </c>
      <c r="G501">
        <v>7</v>
      </c>
      <c r="H501">
        <v>14</v>
      </c>
      <c r="I501">
        <v>20</v>
      </c>
      <c r="J501" t="s">
        <v>831</v>
      </c>
    </row>
    <row r="502" spans="1:10" x14ac:dyDescent="0.2">
      <c r="A502" t="s">
        <v>272</v>
      </c>
      <c r="B502">
        <v>2131</v>
      </c>
      <c r="C502">
        <v>40</v>
      </c>
      <c r="D502">
        <v>-4</v>
      </c>
      <c r="E502">
        <v>93</v>
      </c>
      <c r="F502">
        <v>70</v>
      </c>
      <c r="G502">
        <v>3</v>
      </c>
      <c r="H502">
        <v>10</v>
      </c>
      <c r="I502">
        <v>16</v>
      </c>
      <c r="J502" t="s">
        <v>831</v>
      </c>
    </row>
    <row r="503" spans="1:10" x14ac:dyDescent="0.2">
      <c r="A503" t="s">
        <v>273</v>
      </c>
      <c r="B503">
        <v>1180</v>
      </c>
      <c r="C503">
        <v>40</v>
      </c>
      <c r="D503">
        <v>-2</v>
      </c>
      <c r="E503">
        <v>94</v>
      </c>
      <c r="F503">
        <v>74</v>
      </c>
      <c r="G503">
        <v>25</v>
      </c>
      <c r="H503">
        <v>32</v>
      </c>
      <c r="I503">
        <v>38</v>
      </c>
      <c r="J503" t="s">
        <v>3747</v>
      </c>
    </row>
    <row r="504" spans="1:10" x14ac:dyDescent="0.2">
      <c r="A504" t="s">
        <v>274</v>
      </c>
      <c r="B504">
        <v>2579</v>
      </c>
      <c r="C504">
        <v>40</v>
      </c>
      <c r="D504">
        <v>-2</v>
      </c>
      <c r="E504">
        <v>95</v>
      </c>
      <c r="F504">
        <v>69</v>
      </c>
      <c r="G504">
        <v>-11</v>
      </c>
      <c r="H504">
        <v>-4</v>
      </c>
      <c r="I504">
        <v>2</v>
      </c>
      <c r="J504" t="s">
        <v>831</v>
      </c>
    </row>
    <row r="505" spans="1:10" x14ac:dyDescent="0.2">
      <c r="A505" t="s">
        <v>275</v>
      </c>
      <c r="B505">
        <v>1552</v>
      </c>
      <c r="C505">
        <v>42</v>
      </c>
      <c r="D505">
        <v>-5</v>
      </c>
      <c r="E505">
        <v>92</v>
      </c>
      <c r="F505">
        <v>72</v>
      </c>
      <c r="G505">
        <v>16</v>
      </c>
      <c r="H505">
        <v>23</v>
      </c>
      <c r="I505">
        <v>29</v>
      </c>
      <c r="J505" t="s">
        <v>831</v>
      </c>
    </row>
    <row r="506" spans="1:10" x14ac:dyDescent="0.2">
      <c r="A506" t="s">
        <v>276</v>
      </c>
      <c r="B506">
        <v>2775</v>
      </c>
      <c r="C506">
        <v>41</v>
      </c>
      <c r="D506">
        <v>-4</v>
      </c>
      <c r="E506">
        <v>92</v>
      </c>
      <c r="F506">
        <v>69</v>
      </c>
      <c r="G506">
        <v>-1</v>
      </c>
      <c r="H506">
        <v>6</v>
      </c>
      <c r="I506">
        <v>12</v>
      </c>
      <c r="J506" t="s">
        <v>831</v>
      </c>
    </row>
    <row r="507" spans="1:10" x14ac:dyDescent="0.2">
      <c r="A507" t="s">
        <v>277</v>
      </c>
      <c r="B507">
        <v>977</v>
      </c>
      <c r="C507">
        <v>41</v>
      </c>
      <c r="D507">
        <v>-2</v>
      </c>
      <c r="E507">
        <v>92</v>
      </c>
      <c r="F507">
        <v>75</v>
      </c>
      <c r="G507">
        <v>34</v>
      </c>
      <c r="H507">
        <v>41</v>
      </c>
      <c r="I507">
        <v>47</v>
      </c>
      <c r="J507" t="s">
        <v>3747</v>
      </c>
    </row>
    <row r="508" spans="1:10" x14ac:dyDescent="0.2">
      <c r="A508" t="s">
        <v>278</v>
      </c>
      <c r="B508">
        <v>1332</v>
      </c>
      <c r="C508">
        <v>41</v>
      </c>
      <c r="D508">
        <v>-2</v>
      </c>
      <c r="E508">
        <v>90</v>
      </c>
      <c r="F508">
        <v>75</v>
      </c>
      <c r="G508">
        <v>38</v>
      </c>
      <c r="H508">
        <v>45</v>
      </c>
      <c r="I508">
        <v>51</v>
      </c>
      <c r="J508" t="s">
        <v>3747</v>
      </c>
    </row>
    <row r="509" spans="1:10" x14ac:dyDescent="0.2">
      <c r="A509" t="s">
        <v>279</v>
      </c>
      <c r="B509">
        <v>3958</v>
      </c>
      <c r="C509">
        <v>41</v>
      </c>
      <c r="D509">
        <v>-3</v>
      </c>
      <c r="E509">
        <v>92</v>
      </c>
      <c r="F509">
        <v>64</v>
      </c>
      <c r="G509">
        <v>-25</v>
      </c>
      <c r="H509">
        <v>-18</v>
      </c>
      <c r="I509">
        <v>-12</v>
      </c>
      <c r="J509" t="s">
        <v>831</v>
      </c>
    </row>
    <row r="510" spans="1:10" x14ac:dyDescent="0.2">
      <c r="A510" t="s">
        <v>280</v>
      </c>
      <c r="B510">
        <v>4304</v>
      </c>
      <c r="C510">
        <v>41</v>
      </c>
      <c r="D510">
        <v>-1</v>
      </c>
      <c r="E510">
        <v>92</v>
      </c>
      <c r="F510">
        <v>63</v>
      </c>
      <c r="G510">
        <v>-29</v>
      </c>
      <c r="H510">
        <v>-22</v>
      </c>
      <c r="I510">
        <v>-16</v>
      </c>
      <c r="J510" t="s">
        <v>831</v>
      </c>
    </row>
    <row r="511" spans="1:10" x14ac:dyDescent="0.2">
      <c r="A511" t="s">
        <v>281</v>
      </c>
      <c r="B511">
        <v>2598</v>
      </c>
      <c r="C511">
        <v>42</v>
      </c>
      <c r="D511">
        <v>-8</v>
      </c>
      <c r="E511">
        <v>94</v>
      </c>
      <c r="F511">
        <v>67</v>
      </c>
      <c r="G511">
        <v>-15</v>
      </c>
      <c r="H511">
        <v>-8</v>
      </c>
      <c r="I511">
        <v>-2</v>
      </c>
      <c r="J511" t="s">
        <v>831</v>
      </c>
    </row>
    <row r="512" spans="1:10" x14ac:dyDescent="0.2">
      <c r="A512" t="s">
        <v>282</v>
      </c>
      <c r="B512">
        <v>4675</v>
      </c>
      <c r="C512">
        <v>39</v>
      </c>
      <c r="D512">
        <v>9</v>
      </c>
      <c r="E512">
        <v>91</v>
      </c>
      <c r="F512">
        <v>59</v>
      </c>
      <c r="G512">
        <v>-47</v>
      </c>
      <c r="H512">
        <v>-40</v>
      </c>
      <c r="I512">
        <v>-34</v>
      </c>
      <c r="J512" t="s">
        <v>831</v>
      </c>
    </row>
    <row r="513" spans="1:10" x14ac:dyDescent="0.2">
      <c r="A513" t="s">
        <v>283</v>
      </c>
      <c r="B513">
        <v>5050</v>
      </c>
      <c r="C513">
        <v>40</v>
      </c>
      <c r="D513">
        <v>1</v>
      </c>
      <c r="E513">
        <v>92</v>
      </c>
      <c r="F513">
        <v>59</v>
      </c>
      <c r="G513">
        <v>-48</v>
      </c>
      <c r="H513">
        <v>-41</v>
      </c>
      <c r="I513">
        <v>-35</v>
      </c>
      <c r="J513" t="s">
        <v>831</v>
      </c>
    </row>
    <row r="514" spans="1:10" x14ac:dyDescent="0.2">
      <c r="A514" t="s">
        <v>284</v>
      </c>
      <c r="B514">
        <v>6263</v>
      </c>
      <c r="C514">
        <v>39</v>
      </c>
      <c r="D514">
        <v>0</v>
      </c>
      <c r="E514">
        <v>87</v>
      </c>
      <c r="F514">
        <v>56</v>
      </c>
      <c r="G514">
        <v>-55</v>
      </c>
      <c r="H514">
        <v>-48</v>
      </c>
      <c r="I514">
        <v>-42</v>
      </c>
      <c r="J514" t="s">
        <v>831</v>
      </c>
    </row>
    <row r="515" spans="1:10" x14ac:dyDescent="0.2">
      <c r="A515" t="s">
        <v>285</v>
      </c>
      <c r="B515">
        <v>2162</v>
      </c>
      <c r="C515">
        <v>36</v>
      </c>
      <c r="D515">
        <v>30</v>
      </c>
      <c r="E515">
        <v>106</v>
      </c>
      <c r="F515">
        <v>66</v>
      </c>
      <c r="G515">
        <v>-39</v>
      </c>
      <c r="H515">
        <v>-32</v>
      </c>
      <c r="I515">
        <v>-26</v>
      </c>
      <c r="J515" t="s">
        <v>831</v>
      </c>
    </row>
    <row r="516" spans="1:10" x14ac:dyDescent="0.2">
      <c r="A516" t="s">
        <v>286</v>
      </c>
      <c r="B516">
        <v>3904</v>
      </c>
      <c r="C516">
        <v>40</v>
      </c>
      <c r="D516">
        <v>12</v>
      </c>
      <c r="E516">
        <v>96</v>
      </c>
      <c r="F516">
        <v>63</v>
      </c>
      <c r="G516">
        <v>-35</v>
      </c>
      <c r="H516">
        <v>-28</v>
      </c>
      <c r="I516">
        <v>-22</v>
      </c>
      <c r="J516" t="s">
        <v>831</v>
      </c>
    </row>
    <row r="517" spans="1:10" x14ac:dyDescent="0.2">
      <c r="A517" t="s">
        <v>287</v>
      </c>
      <c r="B517">
        <v>3310</v>
      </c>
      <c r="C517">
        <v>36</v>
      </c>
      <c r="D517">
        <v>28</v>
      </c>
      <c r="E517">
        <v>100</v>
      </c>
      <c r="F517">
        <v>64</v>
      </c>
      <c r="G517">
        <v>-38</v>
      </c>
      <c r="H517">
        <v>-31</v>
      </c>
      <c r="I517">
        <v>-25</v>
      </c>
      <c r="J517" t="s">
        <v>831</v>
      </c>
    </row>
    <row r="518" spans="1:10" x14ac:dyDescent="0.2">
      <c r="A518" t="s">
        <v>288</v>
      </c>
      <c r="B518">
        <v>1868</v>
      </c>
      <c r="C518">
        <v>36</v>
      </c>
      <c r="D518">
        <v>31</v>
      </c>
      <c r="E518">
        <v>106</v>
      </c>
      <c r="F518">
        <v>67</v>
      </c>
      <c r="G518">
        <v>-34</v>
      </c>
      <c r="H518">
        <v>-27</v>
      </c>
      <c r="I518">
        <v>-21</v>
      </c>
      <c r="J518" t="s">
        <v>831</v>
      </c>
    </row>
    <row r="519" spans="1:10" x14ac:dyDescent="0.2">
      <c r="A519" t="s">
        <v>289</v>
      </c>
      <c r="B519">
        <v>4412</v>
      </c>
      <c r="C519">
        <v>39</v>
      </c>
      <c r="D519">
        <v>13</v>
      </c>
      <c r="E519">
        <v>92</v>
      </c>
      <c r="F519">
        <v>60</v>
      </c>
      <c r="G519">
        <v>-44</v>
      </c>
      <c r="H519">
        <v>-37</v>
      </c>
      <c r="I519">
        <v>-31</v>
      </c>
      <c r="J519" t="s">
        <v>831</v>
      </c>
    </row>
    <row r="520" spans="1:10" x14ac:dyDescent="0.2">
      <c r="A520" t="s">
        <v>290</v>
      </c>
      <c r="B520">
        <v>5046</v>
      </c>
      <c r="C520">
        <v>39</v>
      </c>
      <c r="D520">
        <v>11</v>
      </c>
      <c r="E520">
        <v>93</v>
      </c>
      <c r="F520">
        <v>60</v>
      </c>
      <c r="G520">
        <v>-45</v>
      </c>
      <c r="H520">
        <v>-38</v>
      </c>
      <c r="I520">
        <v>-32</v>
      </c>
      <c r="J520" t="s">
        <v>831</v>
      </c>
    </row>
    <row r="521" spans="1:10" x14ac:dyDescent="0.2">
      <c r="A521" t="s">
        <v>291</v>
      </c>
      <c r="B521">
        <v>5426</v>
      </c>
      <c r="C521">
        <v>38</v>
      </c>
      <c r="D521">
        <v>13</v>
      </c>
      <c r="E521">
        <v>92</v>
      </c>
      <c r="F521">
        <v>57</v>
      </c>
      <c r="G521">
        <v>-58</v>
      </c>
      <c r="H521">
        <v>-51</v>
      </c>
      <c r="I521">
        <v>-45</v>
      </c>
      <c r="J521" t="s">
        <v>831</v>
      </c>
    </row>
    <row r="522" spans="1:10" x14ac:dyDescent="0.2">
      <c r="A522" t="s">
        <v>292</v>
      </c>
      <c r="B522">
        <v>4301</v>
      </c>
      <c r="C522">
        <v>40</v>
      </c>
      <c r="D522">
        <v>7</v>
      </c>
      <c r="E522">
        <v>94</v>
      </c>
      <c r="F522">
        <v>60</v>
      </c>
      <c r="G522">
        <v>-48</v>
      </c>
      <c r="H522">
        <v>-41</v>
      </c>
      <c r="I522">
        <v>-35</v>
      </c>
      <c r="J522" t="s">
        <v>831</v>
      </c>
    </row>
    <row r="523" spans="1:10" x14ac:dyDescent="0.2">
      <c r="A523" t="s">
        <v>293</v>
      </c>
      <c r="B523">
        <v>1161</v>
      </c>
      <c r="C523">
        <v>44</v>
      </c>
      <c r="D523">
        <v>-9</v>
      </c>
      <c r="E523">
        <v>84</v>
      </c>
      <c r="F523">
        <v>69</v>
      </c>
      <c r="G523">
        <v>12</v>
      </c>
      <c r="H523">
        <v>19</v>
      </c>
      <c r="I523">
        <v>25</v>
      </c>
      <c r="J523" t="s">
        <v>3747</v>
      </c>
    </row>
    <row r="524" spans="1:10" x14ac:dyDescent="0.2">
      <c r="A524" t="s">
        <v>294</v>
      </c>
      <c r="B524">
        <v>545</v>
      </c>
      <c r="C524">
        <v>43</v>
      </c>
      <c r="D524">
        <v>-4</v>
      </c>
      <c r="E524">
        <v>86</v>
      </c>
      <c r="F524">
        <v>70</v>
      </c>
      <c r="G524">
        <v>14</v>
      </c>
      <c r="H524">
        <v>21</v>
      </c>
      <c r="I524">
        <v>27</v>
      </c>
      <c r="J524" t="s">
        <v>3747</v>
      </c>
    </row>
    <row r="525" spans="1:10" x14ac:dyDescent="0.2">
      <c r="A525" t="s">
        <v>295</v>
      </c>
      <c r="B525">
        <v>342</v>
      </c>
      <c r="C525">
        <v>43</v>
      </c>
      <c r="D525">
        <v>-2</v>
      </c>
      <c r="E525">
        <v>87</v>
      </c>
      <c r="F525">
        <v>70</v>
      </c>
      <c r="G525">
        <v>13</v>
      </c>
      <c r="H525">
        <v>20</v>
      </c>
      <c r="I525">
        <v>26</v>
      </c>
      <c r="J525" t="s">
        <v>831</v>
      </c>
    </row>
    <row r="526" spans="1:10" x14ac:dyDescent="0.2">
      <c r="A526" t="s">
        <v>296</v>
      </c>
      <c r="B526">
        <v>488</v>
      </c>
      <c r="C526">
        <v>43</v>
      </c>
      <c r="D526">
        <v>-7</v>
      </c>
      <c r="E526">
        <v>87</v>
      </c>
      <c r="F526">
        <v>70</v>
      </c>
      <c r="G526">
        <v>13</v>
      </c>
      <c r="H526">
        <v>20</v>
      </c>
      <c r="I526">
        <v>26</v>
      </c>
      <c r="J526" t="s">
        <v>3747</v>
      </c>
    </row>
    <row r="527" spans="1:10" x14ac:dyDescent="0.2">
      <c r="A527" t="s">
        <v>297</v>
      </c>
      <c r="B527">
        <v>545</v>
      </c>
      <c r="C527">
        <v>43</v>
      </c>
      <c r="D527">
        <v>-5</v>
      </c>
      <c r="E527">
        <v>86</v>
      </c>
      <c r="F527">
        <v>70</v>
      </c>
      <c r="G527">
        <v>14</v>
      </c>
      <c r="H527">
        <v>21</v>
      </c>
      <c r="I527">
        <v>27</v>
      </c>
      <c r="J527" t="s">
        <v>3747</v>
      </c>
    </row>
    <row r="528" spans="1:10" x14ac:dyDescent="0.2">
      <c r="A528" t="s">
        <v>298</v>
      </c>
      <c r="B528">
        <v>597</v>
      </c>
      <c r="C528">
        <v>43</v>
      </c>
      <c r="D528">
        <v>-3</v>
      </c>
      <c r="E528">
        <v>86</v>
      </c>
      <c r="F528">
        <v>69</v>
      </c>
      <c r="G528">
        <v>9</v>
      </c>
      <c r="H528">
        <v>16</v>
      </c>
      <c r="I528">
        <v>22</v>
      </c>
      <c r="J528" t="s">
        <v>3747</v>
      </c>
    </row>
    <row r="529" spans="1:10" x14ac:dyDescent="0.2">
      <c r="A529" t="s">
        <v>299</v>
      </c>
      <c r="B529">
        <v>234</v>
      </c>
      <c r="C529">
        <v>43</v>
      </c>
      <c r="D529">
        <v>-3</v>
      </c>
      <c r="E529">
        <v>88</v>
      </c>
      <c r="F529">
        <v>71</v>
      </c>
      <c r="G529">
        <v>17</v>
      </c>
      <c r="H529">
        <v>24</v>
      </c>
      <c r="I529">
        <v>30</v>
      </c>
      <c r="J529" t="s">
        <v>3747</v>
      </c>
    </row>
    <row r="530" spans="1:10" x14ac:dyDescent="0.2">
      <c r="A530" t="s">
        <v>300</v>
      </c>
      <c r="B530">
        <v>6266</v>
      </c>
      <c r="C530">
        <v>44</v>
      </c>
      <c r="D530">
        <v>-19</v>
      </c>
      <c r="E530">
        <v>58</v>
      </c>
      <c r="F530">
        <v>54</v>
      </c>
      <c r="G530">
        <v>-18</v>
      </c>
      <c r="H530">
        <v>-11</v>
      </c>
      <c r="I530">
        <v>-5</v>
      </c>
      <c r="J530" t="s">
        <v>1527</v>
      </c>
    </row>
    <row r="531" spans="1:10" x14ac:dyDescent="0.2">
      <c r="A531" t="s">
        <v>301</v>
      </c>
      <c r="B531">
        <v>101</v>
      </c>
      <c r="C531">
        <v>43</v>
      </c>
      <c r="D531">
        <v>9</v>
      </c>
      <c r="E531">
        <v>85</v>
      </c>
      <c r="F531">
        <v>70</v>
      </c>
      <c r="G531">
        <v>16</v>
      </c>
      <c r="H531">
        <v>23</v>
      </c>
      <c r="I531">
        <v>29</v>
      </c>
      <c r="J531" t="s">
        <v>3747</v>
      </c>
    </row>
    <row r="532" spans="1:10" x14ac:dyDescent="0.2">
      <c r="A532" t="s">
        <v>302</v>
      </c>
      <c r="B532">
        <v>64</v>
      </c>
      <c r="C532">
        <v>39</v>
      </c>
      <c r="D532">
        <v>13</v>
      </c>
      <c r="E532">
        <v>88</v>
      </c>
      <c r="F532">
        <v>73</v>
      </c>
      <c r="G532">
        <v>29</v>
      </c>
      <c r="H532">
        <v>36</v>
      </c>
      <c r="I532">
        <v>42</v>
      </c>
      <c r="J532" t="s">
        <v>3747</v>
      </c>
    </row>
    <row r="533" spans="1:10" x14ac:dyDescent="0.2">
      <c r="A533" t="s">
        <v>303</v>
      </c>
      <c r="B533">
        <v>36</v>
      </c>
      <c r="C533">
        <v>40</v>
      </c>
      <c r="D533">
        <v>13</v>
      </c>
      <c r="E533">
        <v>90</v>
      </c>
      <c r="F533">
        <v>73</v>
      </c>
      <c r="G533">
        <v>24</v>
      </c>
      <c r="H533">
        <v>30</v>
      </c>
      <c r="I533">
        <v>37</v>
      </c>
      <c r="J533" t="s">
        <v>3747</v>
      </c>
    </row>
    <row r="534" spans="1:10" x14ac:dyDescent="0.2">
      <c r="A534" t="s">
        <v>304</v>
      </c>
      <c r="B534">
        <v>82</v>
      </c>
      <c r="C534">
        <v>39</v>
      </c>
      <c r="D534">
        <v>15</v>
      </c>
      <c r="E534">
        <v>89</v>
      </c>
      <c r="F534">
        <v>74</v>
      </c>
      <c r="G534">
        <v>33</v>
      </c>
      <c r="H534">
        <v>40</v>
      </c>
      <c r="I534">
        <v>46</v>
      </c>
      <c r="J534" t="s">
        <v>3747</v>
      </c>
    </row>
    <row r="535" spans="1:10" x14ac:dyDescent="0.2">
      <c r="A535" t="s">
        <v>305</v>
      </c>
      <c r="B535">
        <v>7</v>
      </c>
      <c r="C535">
        <v>40</v>
      </c>
      <c r="D535">
        <v>14</v>
      </c>
      <c r="E535">
        <v>90</v>
      </c>
      <c r="F535">
        <v>73</v>
      </c>
      <c r="G535">
        <v>25</v>
      </c>
      <c r="H535">
        <v>32</v>
      </c>
      <c r="I535">
        <v>38</v>
      </c>
      <c r="J535" t="s">
        <v>3747</v>
      </c>
    </row>
    <row r="536" spans="1:10" x14ac:dyDescent="0.2">
      <c r="A536" t="s">
        <v>2050</v>
      </c>
      <c r="B536">
        <v>100</v>
      </c>
      <c r="C536">
        <v>40</v>
      </c>
      <c r="D536">
        <v>10</v>
      </c>
      <c r="E536">
        <v>89</v>
      </c>
      <c r="F536">
        <v>73</v>
      </c>
      <c r="G536">
        <v>25</v>
      </c>
      <c r="H536">
        <v>32</v>
      </c>
      <c r="I536">
        <v>38</v>
      </c>
      <c r="J536" t="s">
        <v>3747</v>
      </c>
    </row>
    <row r="537" spans="1:10" x14ac:dyDescent="0.2">
      <c r="A537" t="s">
        <v>2051</v>
      </c>
      <c r="B537">
        <v>186</v>
      </c>
      <c r="C537">
        <v>40</v>
      </c>
      <c r="D537">
        <v>10</v>
      </c>
      <c r="E537">
        <v>91</v>
      </c>
      <c r="F537">
        <v>73</v>
      </c>
      <c r="G537">
        <v>22</v>
      </c>
      <c r="H537">
        <v>29</v>
      </c>
      <c r="I537">
        <v>35</v>
      </c>
      <c r="J537" t="s">
        <v>3747</v>
      </c>
    </row>
    <row r="538" spans="1:10" x14ac:dyDescent="0.2">
      <c r="A538" t="s">
        <v>2052</v>
      </c>
      <c r="B538">
        <v>314</v>
      </c>
      <c r="C538">
        <v>40</v>
      </c>
      <c r="D538">
        <v>6</v>
      </c>
      <c r="E538">
        <v>89</v>
      </c>
      <c r="F538">
        <v>72</v>
      </c>
      <c r="G538">
        <v>20</v>
      </c>
      <c r="H538">
        <v>27</v>
      </c>
      <c r="I538">
        <v>33</v>
      </c>
      <c r="J538" t="s">
        <v>3747</v>
      </c>
    </row>
    <row r="539" spans="1:10" x14ac:dyDescent="0.2">
      <c r="A539" t="s">
        <v>2053</v>
      </c>
      <c r="B539">
        <v>9</v>
      </c>
      <c r="C539">
        <v>40</v>
      </c>
      <c r="D539">
        <v>14</v>
      </c>
      <c r="E539">
        <v>89</v>
      </c>
      <c r="F539">
        <v>74</v>
      </c>
      <c r="G539">
        <v>33</v>
      </c>
      <c r="H539">
        <v>40</v>
      </c>
      <c r="I539">
        <v>46</v>
      </c>
      <c r="J539" t="s">
        <v>3747</v>
      </c>
    </row>
    <row r="540" spans="1:10" x14ac:dyDescent="0.2">
      <c r="A540" t="s">
        <v>2054</v>
      </c>
      <c r="B540">
        <v>133</v>
      </c>
      <c r="C540">
        <v>40</v>
      </c>
      <c r="D540">
        <v>15</v>
      </c>
      <c r="E540">
        <v>90</v>
      </c>
      <c r="F540">
        <v>74</v>
      </c>
      <c r="G540">
        <v>31</v>
      </c>
      <c r="H540">
        <v>38</v>
      </c>
      <c r="I540">
        <v>44</v>
      </c>
      <c r="J540" t="s">
        <v>3747</v>
      </c>
    </row>
    <row r="541" spans="1:10" x14ac:dyDescent="0.2">
      <c r="A541" t="s">
        <v>2055</v>
      </c>
      <c r="B541">
        <v>88</v>
      </c>
      <c r="C541">
        <v>39</v>
      </c>
      <c r="D541">
        <v>11</v>
      </c>
      <c r="E541">
        <v>89</v>
      </c>
      <c r="F541">
        <v>74</v>
      </c>
      <c r="G541">
        <v>33</v>
      </c>
      <c r="H541">
        <v>40</v>
      </c>
      <c r="I541">
        <v>46</v>
      </c>
      <c r="J541" t="s">
        <v>3747</v>
      </c>
    </row>
    <row r="542" spans="1:10" x14ac:dyDescent="0.2">
      <c r="A542" t="s">
        <v>2056</v>
      </c>
      <c r="B542">
        <v>4093</v>
      </c>
      <c r="C542">
        <v>32</v>
      </c>
      <c r="D542">
        <v>23</v>
      </c>
      <c r="E542">
        <v>96</v>
      </c>
      <c r="F542">
        <v>63</v>
      </c>
      <c r="G542">
        <v>-36</v>
      </c>
      <c r="H542">
        <v>-29</v>
      </c>
      <c r="I542">
        <v>-23</v>
      </c>
      <c r="J542" t="s">
        <v>831</v>
      </c>
    </row>
    <row r="543" spans="1:10" x14ac:dyDescent="0.2">
      <c r="A543" t="s">
        <v>2057</v>
      </c>
      <c r="B543">
        <v>5311</v>
      </c>
      <c r="C543">
        <v>35</v>
      </c>
      <c r="D543">
        <v>18</v>
      </c>
      <c r="E543">
        <v>93</v>
      </c>
      <c r="F543">
        <v>60</v>
      </c>
      <c r="G543">
        <v>-46</v>
      </c>
      <c r="H543">
        <v>-39</v>
      </c>
      <c r="I543">
        <v>-33</v>
      </c>
      <c r="J543" t="s">
        <v>831</v>
      </c>
    </row>
    <row r="544" spans="1:10" x14ac:dyDescent="0.2">
      <c r="A544" t="s">
        <v>2058</v>
      </c>
      <c r="B544">
        <v>3548</v>
      </c>
      <c r="C544">
        <v>32</v>
      </c>
      <c r="D544">
        <v>19</v>
      </c>
      <c r="E544">
        <v>100</v>
      </c>
      <c r="F544">
        <v>67</v>
      </c>
      <c r="G544">
        <v>-21</v>
      </c>
      <c r="H544">
        <v>-14</v>
      </c>
      <c r="I544">
        <v>-8</v>
      </c>
      <c r="J544" t="s">
        <v>831</v>
      </c>
    </row>
    <row r="545" spans="1:10" x14ac:dyDescent="0.2">
      <c r="A545" t="s">
        <v>2059</v>
      </c>
      <c r="B545">
        <v>3293</v>
      </c>
      <c r="C545">
        <v>32</v>
      </c>
      <c r="D545">
        <v>23</v>
      </c>
      <c r="E545">
        <v>98</v>
      </c>
      <c r="F545">
        <v>66</v>
      </c>
      <c r="G545">
        <v>-23</v>
      </c>
      <c r="H545">
        <v>-16</v>
      </c>
      <c r="I545">
        <v>-10</v>
      </c>
      <c r="J545" t="s">
        <v>831</v>
      </c>
    </row>
    <row r="546" spans="1:10" x14ac:dyDescent="0.2">
      <c r="A546" t="s">
        <v>2060</v>
      </c>
      <c r="B546">
        <v>4970</v>
      </c>
      <c r="C546">
        <v>36</v>
      </c>
      <c r="D546">
        <v>9</v>
      </c>
      <c r="E546">
        <v>91</v>
      </c>
      <c r="F546">
        <v>62</v>
      </c>
      <c r="G546">
        <v>-33</v>
      </c>
      <c r="H546">
        <v>-26</v>
      </c>
      <c r="I546">
        <v>-20</v>
      </c>
      <c r="J546" t="s">
        <v>831</v>
      </c>
    </row>
    <row r="547" spans="1:10" x14ac:dyDescent="0.2">
      <c r="A547" t="s">
        <v>2061</v>
      </c>
      <c r="B547">
        <v>4295</v>
      </c>
      <c r="C547">
        <v>34</v>
      </c>
      <c r="D547">
        <v>15</v>
      </c>
      <c r="E547">
        <v>93</v>
      </c>
      <c r="F547">
        <v>64</v>
      </c>
      <c r="G547">
        <v>-26</v>
      </c>
      <c r="H547">
        <v>-19</v>
      </c>
      <c r="I547">
        <v>-13</v>
      </c>
      <c r="J547" t="s">
        <v>831</v>
      </c>
    </row>
    <row r="548" spans="1:10" x14ac:dyDescent="0.2">
      <c r="A548" t="s">
        <v>2062</v>
      </c>
      <c r="B548">
        <v>5503</v>
      </c>
      <c r="C548">
        <v>36</v>
      </c>
      <c r="D548">
        <v>13</v>
      </c>
      <c r="E548">
        <v>92</v>
      </c>
      <c r="F548">
        <v>60</v>
      </c>
      <c r="G548">
        <v>-57</v>
      </c>
      <c r="H548">
        <v>-50</v>
      </c>
      <c r="I548">
        <v>-44</v>
      </c>
      <c r="J548" t="s">
        <v>831</v>
      </c>
    </row>
    <row r="549" spans="1:10" x14ac:dyDescent="0.2">
      <c r="A549" t="s">
        <v>2063</v>
      </c>
      <c r="B549">
        <v>6470</v>
      </c>
      <c r="C549">
        <v>35</v>
      </c>
      <c r="D549">
        <v>5</v>
      </c>
      <c r="E549">
        <v>87</v>
      </c>
      <c r="F549">
        <v>56</v>
      </c>
      <c r="G549">
        <v>-55</v>
      </c>
      <c r="H549">
        <v>-48</v>
      </c>
      <c r="I549">
        <v>-42</v>
      </c>
      <c r="J549" t="s">
        <v>831</v>
      </c>
    </row>
    <row r="550" spans="1:10" x14ac:dyDescent="0.2">
      <c r="A550" t="s">
        <v>2064</v>
      </c>
      <c r="B550">
        <v>6521</v>
      </c>
      <c r="C550">
        <v>35</v>
      </c>
      <c r="D550">
        <v>4</v>
      </c>
      <c r="E550">
        <v>88</v>
      </c>
      <c r="F550">
        <v>58</v>
      </c>
      <c r="G550">
        <v>-47</v>
      </c>
      <c r="H550">
        <v>-40</v>
      </c>
      <c r="I550">
        <v>-34</v>
      </c>
      <c r="J550" t="s">
        <v>831</v>
      </c>
    </row>
    <row r="551" spans="1:10" x14ac:dyDescent="0.2">
      <c r="A551" t="s">
        <v>2065</v>
      </c>
      <c r="B551">
        <v>3659</v>
      </c>
      <c r="C551">
        <v>32</v>
      </c>
      <c r="D551">
        <v>18</v>
      </c>
      <c r="E551">
        <v>99</v>
      </c>
      <c r="F551">
        <v>66</v>
      </c>
      <c r="G551">
        <v>-25</v>
      </c>
      <c r="H551">
        <v>-18</v>
      </c>
      <c r="I551">
        <v>-12</v>
      </c>
      <c r="J551" t="s">
        <v>831</v>
      </c>
    </row>
    <row r="552" spans="1:10" x14ac:dyDescent="0.2">
      <c r="A552" t="s">
        <v>2066</v>
      </c>
      <c r="B552">
        <v>4544</v>
      </c>
      <c r="C552">
        <v>32</v>
      </c>
      <c r="D552">
        <v>20</v>
      </c>
      <c r="E552">
        <v>96</v>
      </c>
      <c r="F552">
        <v>64</v>
      </c>
      <c r="G552">
        <v>-30</v>
      </c>
      <c r="H552">
        <v>-23</v>
      </c>
      <c r="I552">
        <v>-17</v>
      </c>
      <c r="J552" t="s">
        <v>831</v>
      </c>
    </row>
    <row r="553" spans="1:10" x14ac:dyDescent="0.2">
      <c r="A553" t="s">
        <v>2067</v>
      </c>
      <c r="B553">
        <v>6089</v>
      </c>
      <c r="C553">
        <v>35</v>
      </c>
      <c r="D553">
        <v>9</v>
      </c>
      <c r="E553">
        <v>87</v>
      </c>
      <c r="F553">
        <v>60</v>
      </c>
      <c r="G553">
        <v>-36</v>
      </c>
      <c r="H553">
        <v>-27</v>
      </c>
      <c r="I553">
        <v>-19</v>
      </c>
      <c r="J553" t="s">
        <v>831</v>
      </c>
    </row>
    <row r="554" spans="1:10" x14ac:dyDescent="0.2">
      <c r="A554" t="s">
        <v>2068</v>
      </c>
      <c r="B554">
        <v>6349</v>
      </c>
      <c r="C554">
        <v>36</v>
      </c>
      <c r="D554">
        <v>1</v>
      </c>
      <c r="E554">
        <v>89</v>
      </c>
      <c r="F554">
        <v>60</v>
      </c>
      <c r="G554">
        <v>-38</v>
      </c>
      <c r="H554">
        <v>-31</v>
      </c>
      <c r="I554">
        <v>-25</v>
      </c>
      <c r="J554" t="s">
        <v>831</v>
      </c>
    </row>
    <row r="555" spans="1:10" x14ac:dyDescent="0.2">
      <c r="A555" t="s">
        <v>2069</v>
      </c>
      <c r="B555">
        <v>3676</v>
      </c>
      <c r="C555">
        <v>33</v>
      </c>
      <c r="D555">
        <v>20</v>
      </c>
      <c r="E555">
        <v>96</v>
      </c>
      <c r="F555">
        <v>65</v>
      </c>
      <c r="G555">
        <v>-26</v>
      </c>
      <c r="H555">
        <v>-19</v>
      </c>
      <c r="I555">
        <v>-13</v>
      </c>
      <c r="J555" t="s">
        <v>831</v>
      </c>
    </row>
    <row r="556" spans="1:10" x14ac:dyDescent="0.2">
      <c r="A556" t="s">
        <v>2070</v>
      </c>
      <c r="B556">
        <v>6345</v>
      </c>
      <c r="C556">
        <v>35</v>
      </c>
      <c r="D556">
        <v>10</v>
      </c>
      <c r="E556">
        <v>88</v>
      </c>
      <c r="F556">
        <v>61</v>
      </c>
      <c r="G556">
        <v>-32</v>
      </c>
      <c r="H556">
        <v>-25</v>
      </c>
      <c r="I556">
        <v>-19</v>
      </c>
      <c r="J556" t="s">
        <v>831</v>
      </c>
    </row>
    <row r="557" spans="1:10" x14ac:dyDescent="0.2">
      <c r="A557" t="s">
        <v>2071</v>
      </c>
      <c r="B557">
        <v>6126</v>
      </c>
      <c r="C557">
        <v>32</v>
      </c>
      <c r="D557">
        <v>10</v>
      </c>
      <c r="E557">
        <v>94</v>
      </c>
      <c r="F557">
        <v>60</v>
      </c>
      <c r="G557">
        <v>-47</v>
      </c>
      <c r="H557">
        <v>-40</v>
      </c>
      <c r="I557">
        <v>-34</v>
      </c>
      <c r="J557" t="s">
        <v>831</v>
      </c>
    </row>
    <row r="558" spans="1:10" x14ac:dyDescent="0.2">
      <c r="A558" t="s">
        <v>2072</v>
      </c>
      <c r="B558">
        <v>4850</v>
      </c>
      <c r="C558">
        <v>34</v>
      </c>
      <c r="D558">
        <v>17</v>
      </c>
      <c r="E558">
        <v>95</v>
      </c>
      <c r="F558">
        <v>62</v>
      </c>
      <c r="G558">
        <v>-38</v>
      </c>
      <c r="H558">
        <v>-31</v>
      </c>
      <c r="I558">
        <v>-25</v>
      </c>
      <c r="J558" t="s">
        <v>831</v>
      </c>
    </row>
    <row r="559" spans="1:10" x14ac:dyDescent="0.2">
      <c r="A559" t="s">
        <v>2073</v>
      </c>
      <c r="B559">
        <v>4858</v>
      </c>
      <c r="C559">
        <v>33</v>
      </c>
      <c r="D559">
        <v>26</v>
      </c>
      <c r="E559">
        <v>95</v>
      </c>
      <c r="F559">
        <v>61</v>
      </c>
      <c r="G559">
        <v>-43</v>
      </c>
      <c r="H559">
        <v>-36</v>
      </c>
      <c r="I559">
        <v>-30</v>
      </c>
      <c r="J559" t="s">
        <v>831</v>
      </c>
    </row>
    <row r="560" spans="1:10" x14ac:dyDescent="0.2">
      <c r="A560" t="s">
        <v>2074</v>
      </c>
      <c r="B560">
        <v>4039</v>
      </c>
      <c r="C560">
        <v>35</v>
      </c>
      <c r="D560">
        <v>15</v>
      </c>
      <c r="E560">
        <v>95</v>
      </c>
      <c r="F560">
        <v>65</v>
      </c>
      <c r="G560">
        <v>-24</v>
      </c>
      <c r="H560">
        <v>-17</v>
      </c>
      <c r="I560">
        <v>-11</v>
      </c>
      <c r="J560" t="s">
        <v>831</v>
      </c>
    </row>
    <row r="561" spans="1:10" x14ac:dyDescent="0.2">
      <c r="A561" t="s">
        <v>2075</v>
      </c>
      <c r="B561">
        <v>285</v>
      </c>
      <c r="C561">
        <v>42</v>
      </c>
      <c r="D561">
        <v>-2</v>
      </c>
      <c r="E561">
        <v>86</v>
      </c>
      <c r="F561">
        <v>70</v>
      </c>
      <c r="G561">
        <v>14</v>
      </c>
      <c r="H561">
        <v>21</v>
      </c>
      <c r="I561">
        <v>27</v>
      </c>
      <c r="J561" t="s">
        <v>3747</v>
      </c>
    </row>
    <row r="562" spans="1:10" x14ac:dyDescent="0.2">
      <c r="A562" t="s">
        <v>2076</v>
      </c>
      <c r="B562">
        <v>275</v>
      </c>
      <c r="C562">
        <v>42</v>
      </c>
      <c r="D562">
        <v>1</v>
      </c>
      <c r="E562">
        <v>88</v>
      </c>
      <c r="F562">
        <v>72</v>
      </c>
      <c r="G562">
        <v>23</v>
      </c>
      <c r="H562">
        <v>30</v>
      </c>
      <c r="I562">
        <v>36</v>
      </c>
      <c r="J562" t="s">
        <v>3747</v>
      </c>
    </row>
    <row r="563" spans="1:10" x14ac:dyDescent="0.2">
      <c r="A563" t="s">
        <v>2077</v>
      </c>
      <c r="B563">
        <v>417</v>
      </c>
      <c r="C563">
        <v>43</v>
      </c>
      <c r="D563">
        <v>2</v>
      </c>
      <c r="E563">
        <v>87</v>
      </c>
      <c r="F563">
        <v>71</v>
      </c>
      <c r="G563">
        <v>18</v>
      </c>
      <c r="H563">
        <v>24</v>
      </c>
      <c r="I563">
        <v>31</v>
      </c>
      <c r="J563" t="s">
        <v>3747</v>
      </c>
    </row>
    <row r="564" spans="1:10" x14ac:dyDescent="0.2">
      <c r="A564" t="s">
        <v>2078</v>
      </c>
      <c r="B564">
        <v>913</v>
      </c>
      <c r="C564">
        <v>43</v>
      </c>
      <c r="D564">
        <v>5</v>
      </c>
      <c r="E564">
        <v>87</v>
      </c>
      <c r="F564">
        <v>71</v>
      </c>
      <c r="G564">
        <v>19</v>
      </c>
      <c r="H564">
        <v>26</v>
      </c>
      <c r="I564">
        <v>32</v>
      </c>
      <c r="J564" t="s">
        <v>3747</v>
      </c>
    </row>
    <row r="565" spans="1:10" x14ac:dyDescent="0.2">
      <c r="A565" t="s">
        <v>2079</v>
      </c>
      <c r="B565">
        <v>1590</v>
      </c>
      <c r="C565">
        <v>42</v>
      </c>
      <c r="D565">
        <v>2</v>
      </c>
      <c r="E565">
        <v>82</v>
      </c>
      <c r="F565">
        <v>69</v>
      </c>
      <c r="G565">
        <v>15</v>
      </c>
      <c r="H565">
        <v>22</v>
      </c>
      <c r="I565">
        <v>28</v>
      </c>
      <c r="J565" t="s">
        <v>3747</v>
      </c>
    </row>
    <row r="566" spans="1:10" x14ac:dyDescent="0.2">
      <c r="A566" t="s">
        <v>2080</v>
      </c>
      <c r="B566">
        <v>705</v>
      </c>
      <c r="C566">
        <v>43</v>
      </c>
      <c r="D566">
        <v>5</v>
      </c>
      <c r="E566">
        <v>84</v>
      </c>
      <c r="F566">
        <v>69</v>
      </c>
      <c r="G566">
        <v>12</v>
      </c>
      <c r="H566">
        <v>19</v>
      </c>
      <c r="I566">
        <v>25</v>
      </c>
      <c r="J566" t="s">
        <v>3747</v>
      </c>
    </row>
    <row r="567" spans="1:10" x14ac:dyDescent="0.2">
      <c r="A567" t="s">
        <v>2081</v>
      </c>
      <c r="B567">
        <v>98</v>
      </c>
      <c r="C567">
        <v>40</v>
      </c>
      <c r="D567">
        <v>15</v>
      </c>
      <c r="E567">
        <v>85</v>
      </c>
      <c r="F567">
        <v>72</v>
      </c>
      <c r="G567">
        <v>28</v>
      </c>
      <c r="H567">
        <v>35</v>
      </c>
      <c r="I567">
        <v>41</v>
      </c>
      <c r="J567" t="s">
        <v>3747</v>
      </c>
    </row>
    <row r="568" spans="1:10" x14ac:dyDescent="0.2">
      <c r="A568" t="s">
        <v>2082</v>
      </c>
      <c r="B568">
        <v>1198</v>
      </c>
      <c r="C568">
        <v>42</v>
      </c>
      <c r="D568">
        <v>0</v>
      </c>
      <c r="E568">
        <v>85</v>
      </c>
      <c r="F568">
        <v>71</v>
      </c>
      <c r="G568">
        <v>22</v>
      </c>
      <c r="H568">
        <v>29</v>
      </c>
      <c r="I568">
        <v>35</v>
      </c>
      <c r="J568" t="s">
        <v>3747</v>
      </c>
    </row>
    <row r="569" spans="1:10" x14ac:dyDescent="0.2">
      <c r="A569" t="s">
        <v>2083</v>
      </c>
      <c r="B569">
        <v>692</v>
      </c>
      <c r="C569">
        <v>42</v>
      </c>
      <c r="D569">
        <v>9</v>
      </c>
      <c r="E569">
        <v>85</v>
      </c>
      <c r="F569">
        <v>72</v>
      </c>
      <c r="G569">
        <v>28</v>
      </c>
      <c r="H569">
        <v>35</v>
      </c>
      <c r="I569">
        <v>41</v>
      </c>
      <c r="J569" t="s">
        <v>3747</v>
      </c>
    </row>
    <row r="570" spans="1:10" x14ac:dyDescent="0.2">
      <c r="A570" t="s">
        <v>2084</v>
      </c>
      <c r="B570">
        <v>955</v>
      </c>
      <c r="C570">
        <v>42</v>
      </c>
      <c r="D570">
        <v>3</v>
      </c>
      <c r="E570">
        <v>87</v>
      </c>
      <c r="F570">
        <v>71</v>
      </c>
      <c r="G570">
        <v>19</v>
      </c>
      <c r="H570">
        <v>26</v>
      </c>
      <c r="I570">
        <v>32</v>
      </c>
      <c r="J570" t="s">
        <v>3747</v>
      </c>
    </row>
    <row r="571" spans="1:10" x14ac:dyDescent="0.2">
      <c r="A571" t="s">
        <v>2085</v>
      </c>
      <c r="B571">
        <v>417</v>
      </c>
      <c r="C571">
        <v>42</v>
      </c>
      <c r="D571">
        <v>2</v>
      </c>
      <c r="E571">
        <v>87</v>
      </c>
      <c r="F571">
        <v>71</v>
      </c>
      <c r="G571">
        <v>18</v>
      </c>
      <c r="H571">
        <v>24</v>
      </c>
      <c r="I571">
        <v>31</v>
      </c>
      <c r="J571" t="s">
        <v>3747</v>
      </c>
    </row>
    <row r="572" spans="1:10" x14ac:dyDescent="0.2">
      <c r="A572" t="s">
        <v>2086</v>
      </c>
      <c r="B572">
        <v>328</v>
      </c>
      <c r="C572">
        <v>43</v>
      </c>
      <c r="D572">
        <v>-4</v>
      </c>
      <c r="E572">
        <v>85</v>
      </c>
      <c r="F572">
        <v>71</v>
      </c>
      <c r="G572">
        <v>22</v>
      </c>
      <c r="H572">
        <v>29</v>
      </c>
      <c r="I572">
        <v>35</v>
      </c>
      <c r="J572" t="s">
        <v>3747</v>
      </c>
    </row>
    <row r="573" spans="1:10" x14ac:dyDescent="0.2">
      <c r="A573" t="s">
        <v>2087</v>
      </c>
      <c r="B573">
        <v>417</v>
      </c>
      <c r="C573">
        <v>43</v>
      </c>
      <c r="D573">
        <v>-2</v>
      </c>
      <c r="E573">
        <v>86</v>
      </c>
      <c r="F573">
        <v>71</v>
      </c>
      <c r="G573">
        <v>19</v>
      </c>
      <c r="H573">
        <v>26</v>
      </c>
      <c r="I573">
        <v>33</v>
      </c>
      <c r="J573" t="s">
        <v>3747</v>
      </c>
    </row>
    <row r="574" spans="1:10" x14ac:dyDescent="0.2">
      <c r="A574" t="s">
        <v>2088</v>
      </c>
      <c r="B574">
        <v>1220</v>
      </c>
      <c r="C574">
        <v>42</v>
      </c>
      <c r="D574">
        <v>0</v>
      </c>
      <c r="E574">
        <v>85</v>
      </c>
      <c r="F574">
        <v>70</v>
      </c>
      <c r="G574">
        <v>16</v>
      </c>
      <c r="H574">
        <v>23</v>
      </c>
      <c r="I574">
        <v>29</v>
      </c>
      <c r="J574" t="s">
        <v>3747</v>
      </c>
    </row>
    <row r="575" spans="1:10" x14ac:dyDescent="0.2">
      <c r="A575" t="s">
        <v>2089</v>
      </c>
      <c r="B575">
        <v>1099</v>
      </c>
      <c r="C575">
        <v>42</v>
      </c>
      <c r="D575">
        <v>0</v>
      </c>
      <c r="E575">
        <v>85</v>
      </c>
      <c r="F575">
        <v>71</v>
      </c>
      <c r="G575">
        <v>22</v>
      </c>
      <c r="H575">
        <v>29</v>
      </c>
      <c r="I575">
        <v>35</v>
      </c>
      <c r="J575" t="s">
        <v>3747</v>
      </c>
    </row>
    <row r="576" spans="1:10" x14ac:dyDescent="0.2">
      <c r="A576" t="s">
        <v>4017</v>
      </c>
      <c r="B576">
        <v>1723</v>
      </c>
      <c r="C576">
        <v>42</v>
      </c>
      <c r="D576">
        <v>3</v>
      </c>
      <c r="E576">
        <v>86</v>
      </c>
      <c r="F576">
        <v>70</v>
      </c>
      <c r="G576">
        <v>14</v>
      </c>
      <c r="H576">
        <v>21</v>
      </c>
      <c r="I576">
        <v>27</v>
      </c>
      <c r="J576" t="s">
        <v>3747</v>
      </c>
    </row>
    <row r="577" spans="1:10" x14ac:dyDescent="0.2">
      <c r="A577" t="s">
        <v>4018</v>
      </c>
      <c r="B577">
        <v>149</v>
      </c>
      <c r="C577">
        <v>42</v>
      </c>
      <c r="D577">
        <v>2</v>
      </c>
      <c r="E577">
        <v>88</v>
      </c>
      <c r="F577">
        <v>72</v>
      </c>
      <c r="G577">
        <v>23</v>
      </c>
      <c r="H577">
        <v>30</v>
      </c>
      <c r="I577">
        <v>36</v>
      </c>
      <c r="J577" t="s">
        <v>3747</v>
      </c>
    </row>
    <row r="578" spans="1:10" x14ac:dyDescent="0.2">
      <c r="A578" t="s">
        <v>4019</v>
      </c>
      <c r="B578">
        <v>638</v>
      </c>
      <c r="C578">
        <v>43</v>
      </c>
      <c r="D578">
        <v>7</v>
      </c>
      <c r="E578">
        <v>86</v>
      </c>
      <c r="F578">
        <v>72</v>
      </c>
      <c r="G578">
        <v>26</v>
      </c>
      <c r="H578">
        <v>33</v>
      </c>
      <c r="I578">
        <v>39</v>
      </c>
      <c r="J578" t="s">
        <v>3747</v>
      </c>
    </row>
    <row r="579" spans="1:10" x14ac:dyDescent="0.2">
      <c r="A579" t="s">
        <v>4020</v>
      </c>
      <c r="B579">
        <v>213</v>
      </c>
      <c r="C579">
        <v>44</v>
      </c>
      <c r="D579">
        <v>-10</v>
      </c>
      <c r="E579">
        <v>84</v>
      </c>
      <c r="F579">
        <v>71</v>
      </c>
      <c r="G579">
        <v>23</v>
      </c>
      <c r="H579">
        <v>30</v>
      </c>
      <c r="I579">
        <v>36</v>
      </c>
      <c r="J579" t="s">
        <v>3747</v>
      </c>
    </row>
    <row r="580" spans="1:10" x14ac:dyDescent="0.2">
      <c r="A580" t="s">
        <v>4021</v>
      </c>
      <c r="B580">
        <v>471</v>
      </c>
      <c r="C580">
        <v>41</v>
      </c>
      <c r="D580">
        <v>10</v>
      </c>
      <c r="E580">
        <v>85</v>
      </c>
      <c r="F580">
        <v>72</v>
      </c>
      <c r="G580">
        <v>28</v>
      </c>
      <c r="H580">
        <v>35</v>
      </c>
      <c r="I580">
        <v>41</v>
      </c>
      <c r="J580" t="s">
        <v>3747</v>
      </c>
    </row>
    <row r="581" spans="1:10" x14ac:dyDescent="0.2">
      <c r="A581" t="s">
        <v>4022</v>
      </c>
      <c r="B581">
        <v>7</v>
      </c>
      <c r="C581">
        <v>40</v>
      </c>
      <c r="D581">
        <v>15</v>
      </c>
      <c r="E581">
        <v>89</v>
      </c>
      <c r="F581">
        <v>73</v>
      </c>
      <c r="G581">
        <v>27</v>
      </c>
      <c r="H581">
        <v>34</v>
      </c>
      <c r="I581">
        <v>40</v>
      </c>
      <c r="J581" t="s">
        <v>3747</v>
      </c>
    </row>
    <row r="582" spans="1:10" x14ac:dyDescent="0.2">
      <c r="A582" t="s">
        <v>4023</v>
      </c>
      <c r="B582">
        <v>13</v>
      </c>
      <c r="C582">
        <v>40</v>
      </c>
      <c r="D582">
        <v>15</v>
      </c>
      <c r="E582">
        <v>88</v>
      </c>
      <c r="F582">
        <v>72</v>
      </c>
      <c r="G582">
        <v>23</v>
      </c>
      <c r="H582">
        <v>30</v>
      </c>
      <c r="I582">
        <v>36</v>
      </c>
      <c r="J582" t="s">
        <v>3747</v>
      </c>
    </row>
    <row r="583" spans="1:10" x14ac:dyDescent="0.2">
      <c r="A583" t="s">
        <v>4024</v>
      </c>
      <c r="B583">
        <v>22</v>
      </c>
      <c r="C583">
        <v>40</v>
      </c>
      <c r="D583">
        <v>17</v>
      </c>
      <c r="E583">
        <v>89</v>
      </c>
      <c r="F583">
        <v>73</v>
      </c>
      <c r="G583">
        <v>27</v>
      </c>
      <c r="H583">
        <v>34</v>
      </c>
      <c r="I583">
        <v>40</v>
      </c>
      <c r="J583" t="s">
        <v>3747</v>
      </c>
    </row>
    <row r="584" spans="1:10" x14ac:dyDescent="0.2">
      <c r="A584" t="s">
        <v>4025</v>
      </c>
      <c r="B584">
        <v>590</v>
      </c>
      <c r="C584">
        <v>43</v>
      </c>
      <c r="D584">
        <v>7</v>
      </c>
      <c r="E584">
        <v>85</v>
      </c>
      <c r="F584">
        <v>71</v>
      </c>
      <c r="G584">
        <v>22</v>
      </c>
      <c r="H584">
        <v>29</v>
      </c>
      <c r="I584">
        <v>35</v>
      </c>
      <c r="J584" t="s">
        <v>3747</v>
      </c>
    </row>
    <row r="585" spans="1:10" x14ac:dyDescent="0.2">
      <c r="A585" t="s">
        <v>4026</v>
      </c>
      <c r="B585">
        <v>2135</v>
      </c>
      <c r="C585">
        <v>42</v>
      </c>
      <c r="D585">
        <v>2</v>
      </c>
      <c r="E585">
        <v>84</v>
      </c>
      <c r="F585">
        <v>71</v>
      </c>
      <c r="G585">
        <v>23</v>
      </c>
      <c r="H585">
        <v>30</v>
      </c>
      <c r="I585">
        <v>36</v>
      </c>
      <c r="J585" t="s">
        <v>3747</v>
      </c>
    </row>
    <row r="586" spans="1:10" x14ac:dyDescent="0.2">
      <c r="A586" t="s">
        <v>4027</v>
      </c>
      <c r="B586">
        <v>1764</v>
      </c>
      <c r="C586">
        <v>42</v>
      </c>
      <c r="D586">
        <v>-4</v>
      </c>
      <c r="E586">
        <v>83</v>
      </c>
      <c r="F586">
        <v>69</v>
      </c>
      <c r="G586">
        <v>14</v>
      </c>
      <c r="H586">
        <v>21</v>
      </c>
      <c r="I586">
        <v>27</v>
      </c>
      <c r="J586" t="s">
        <v>3747</v>
      </c>
    </row>
    <row r="587" spans="1:10" x14ac:dyDescent="0.2">
      <c r="A587" t="s">
        <v>4028</v>
      </c>
      <c r="B587">
        <v>300</v>
      </c>
      <c r="C587">
        <v>43</v>
      </c>
      <c r="D587">
        <v>7</v>
      </c>
      <c r="E587">
        <v>83</v>
      </c>
      <c r="F587">
        <v>71</v>
      </c>
      <c r="G587">
        <v>25</v>
      </c>
      <c r="H587">
        <v>32</v>
      </c>
      <c r="I587">
        <v>38</v>
      </c>
      <c r="J587" t="s">
        <v>3747</v>
      </c>
    </row>
    <row r="588" spans="1:10" x14ac:dyDescent="0.2">
      <c r="A588" t="s">
        <v>4029</v>
      </c>
      <c r="B588">
        <v>235</v>
      </c>
      <c r="C588">
        <v>44</v>
      </c>
      <c r="D588">
        <v>-4</v>
      </c>
      <c r="E588">
        <v>83</v>
      </c>
      <c r="F588">
        <v>69</v>
      </c>
      <c r="G588">
        <v>14</v>
      </c>
      <c r="H588">
        <v>21</v>
      </c>
      <c r="I588">
        <v>27</v>
      </c>
      <c r="J588" t="s">
        <v>3747</v>
      </c>
    </row>
    <row r="589" spans="1:10" x14ac:dyDescent="0.2">
      <c r="A589" t="s">
        <v>4030</v>
      </c>
      <c r="B589">
        <v>165</v>
      </c>
      <c r="C589">
        <v>41</v>
      </c>
      <c r="D589">
        <v>6</v>
      </c>
      <c r="E589">
        <v>88</v>
      </c>
      <c r="F589">
        <v>72</v>
      </c>
      <c r="G589">
        <v>23</v>
      </c>
      <c r="H589">
        <v>30</v>
      </c>
      <c r="I589">
        <v>36</v>
      </c>
      <c r="J589" t="s">
        <v>3747</v>
      </c>
    </row>
    <row r="590" spans="1:10" x14ac:dyDescent="0.2">
      <c r="A590" t="s">
        <v>4031</v>
      </c>
      <c r="B590">
        <v>547</v>
      </c>
      <c r="C590">
        <v>43</v>
      </c>
      <c r="D590">
        <v>5</v>
      </c>
      <c r="E590">
        <v>86</v>
      </c>
      <c r="F590">
        <v>71</v>
      </c>
      <c r="G590">
        <v>20</v>
      </c>
      <c r="H590">
        <v>27</v>
      </c>
      <c r="I590">
        <v>33</v>
      </c>
      <c r="J590" t="s">
        <v>3747</v>
      </c>
    </row>
    <row r="591" spans="1:10" x14ac:dyDescent="0.2">
      <c r="A591" t="s">
        <v>239</v>
      </c>
      <c r="B591">
        <v>514</v>
      </c>
      <c r="C591">
        <v>43</v>
      </c>
      <c r="D591">
        <v>1</v>
      </c>
      <c r="E591">
        <v>86</v>
      </c>
      <c r="F591">
        <v>70</v>
      </c>
      <c r="G591">
        <v>14</v>
      </c>
      <c r="H591">
        <v>21</v>
      </c>
      <c r="I591">
        <v>27</v>
      </c>
      <c r="J591" t="s">
        <v>3747</v>
      </c>
    </row>
    <row r="592" spans="1:10" x14ac:dyDescent="0.2">
      <c r="A592" t="s">
        <v>240</v>
      </c>
      <c r="B592">
        <v>378</v>
      </c>
      <c r="C592">
        <v>42</v>
      </c>
      <c r="D592">
        <v>1</v>
      </c>
      <c r="E592">
        <v>87</v>
      </c>
      <c r="F592">
        <v>72</v>
      </c>
      <c r="G592">
        <v>24</v>
      </c>
      <c r="H592">
        <v>31</v>
      </c>
      <c r="I592">
        <v>37</v>
      </c>
      <c r="J592" t="s">
        <v>3747</v>
      </c>
    </row>
    <row r="593" spans="1:10" x14ac:dyDescent="0.2">
      <c r="A593" t="s">
        <v>241</v>
      </c>
      <c r="B593">
        <v>67</v>
      </c>
      <c r="C593">
        <v>40</v>
      </c>
      <c r="D593">
        <v>10</v>
      </c>
      <c r="E593">
        <v>83</v>
      </c>
      <c r="F593">
        <v>71</v>
      </c>
      <c r="G593">
        <v>25</v>
      </c>
      <c r="H593">
        <v>32</v>
      </c>
      <c r="I593">
        <v>38</v>
      </c>
      <c r="J593" t="s">
        <v>3747</v>
      </c>
    </row>
    <row r="594" spans="1:10" x14ac:dyDescent="0.2">
      <c r="A594" t="s">
        <v>242</v>
      </c>
      <c r="B594">
        <v>410</v>
      </c>
      <c r="C594">
        <v>43</v>
      </c>
      <c r="D594">
        <v>2</v>
      </c>
      <c r="E594">
        <v>85</v>
      </c>
      <c r="F594">
        <v>71</v>
      </c>
      <c r="G594">
        <v>22</v>
      </c>
      <c r="H594">
        <v>29</v>
      </c>
      <c r="I594">
        <v>35</v>
      </c>
      <c r="J594" t="s">
        <v>3747</v>
      </c>
    </row>
    <row r="595" spans="1:10" x14ac:dyDescent="0.2">
      <c r="A595" t="s">
        <v>243</v>
      </c>
      <c r="B595">
        <v>742</v>
      </c>
      <c r="C595">
        <v>43</v>
      </c>
      <c r="D595">
        <v>-6</v>
      </c>
      <c r="E595">
        <v>85</v>
      </c>
      <c r="F595">
        <v>71</v>
      </c>
      <c r="G595">
        <v>22</v>
      </c>
      <c r="H595">
        <v>29</v>
      </c>
      <c r="I595">
        <v>35</v>
      </c>
      <c r="J595" t="s">
        <v>3747</v>
      </c>
    </row>
    <row r="596" spans="1:10" x14ac:dyDescent="0.2">
      <c r="A596" t="s">
        <v>244</v>
      </c>
      <c r="B596">
        <v>325</v>
      </c>
      <c r="C596">
        <v>44</v>
      </c>
      <c r="D596">
        <v>-6</v>
      </c>
      <c r="E596">
        <v>83</v>
      </c>
      <c r="F596" t="s">
        <v>245</v>
      </c>
      <c r="G596">
        <v>19</v>
      </c>
      <c r="H596">
        <v>26</v>
      </c>
      <c r="I596">
        <v>32</v>
      </c>
      <c r="J596" t="s">
        <v>3747</v>
      </c>
    </row>
    <row r="597" spans="1:10" x14ac:dyDescent="0.2">
      <c r="A597" t="s">
        <v>246</v>
      </c>
      <c r="B597">
        <v>439</v>
      </c>
      <c r="C597">
        <v>41</v>
      </c>
      <c r="D597">
        <v>12</v>
      </c>
      <c r="E597">
        <v>87</v>
      </c>
      <c r="F597">
        <v>72</v>
      </c>
      <c r="G597">
        <v>24</v>
      </c>
      <c r="H597">
        <v>31</v>
      </c>
      <c r="I597">
        <v>37</v>
      </c>
      <c r="J597" t="s">
        <v>3747</v>
      </c>
    </row>
    <row r="598" spans="1:10" x14ac:dyDescent="0.2">
      <c r="A598" t="s">
        <v>247</v>
      </c>
      <c r="B598">
        <v>2140</v>
      </c>
      <c r="C598">
        <v>35</v>
      </c>
      <c r="D598">
        <v>16</v>
      </c>
      <c r="E598">
        <v>85</v>
      </c>
      <c r="F598">
        <v>71</v>
      </c>
      <c r="G598">
        <v>22</v>
      </c>
      <c r="H598">
        <v>29</v>
      </c>
      <c r="I598">
        <v>35</v>
      </c>
      <c r="J598" t="s">
        <v>3747</v>
      </c>
    </row>
    <row r="599" spans="1:10" x14ac:dyDescent="0.2">
      <c r="A599" t="s">
        <v>248</v>
      </c>
      <c r="B599">
        <v>7</v>
      </c>
      <c r="C599">
        <v>35</v>
      </c>
      <c r="D599">
        <v>29</v>
      </c>
      <c r="E599">
        <v>86</v>
      </c>
      <c r="F599">
        <v>77</v>
      </c>
      <c r="G599">
        <v>57</v>
      </c>
      <c r="H599">
        <v>64</v>
      </c>
      <c r="I599">
        <v>70</v>
      </c>
      <c r="J599" t="s">
        <v>1527</v>
      </c>
    </row>
    <row r="600" spans="1:10" x14ac:dyDescent="0.2">
      <c r="A600" t="s">
        <v>249</v>
      </c>
      <c r="B600">
        <v>736</v>
      </c>
      <c r="C600">
        <v>35</v>
      </c>
      <c r="D600">
        <v>23</v>
      </c>
      <c r="E600">
        <v>91</v>
      </c>
      <c r="F600">
        <v>74</v>
      </c>
      <c r="G600">
        <v>30</v>
      </c>
      <c r="H600">
        <v>37</v>
      </c>
      <c r="I600">
        <v>43</v>
      </c>
      <c r="J600" t="s">
        <v>3747</v>
      </c>
    </row>
    <row r="601" spans="1:10" x14ac:dyDescent="0.2">
      <c r="A601" t="s">
        <v>250</v>
      </c>
      <c r="B601">
        <v>29</v>
      </c>
      <c r="C601">
        <v>34</v>
      </c>
      <c r="D601">
        <v>28</v>
      </c>
      <c r="E601">
        <v>92</v>
      </c>
      <c r="F601">
        <v>78</v>
      </c>
      <c r="G601">
        <v>54</v>
      </c>
      <c r="H601">
        <v>61</v>
      </c>
      <c r="I601">
        <v>67</v>
      </c>
      <c r="J601" t="s">
        <v>3747</v>
      </c>
    </row>
    <row r="602" spans="1:10" x14ac:dyDescent="0.2">
      <c r="A602" t="s">
        <v>251</v>
      </c>
      <c r="B602">
        <v>427</v>
      </c>
      <c r="C602">
        <v>36</v>
      </c>
      <c r="D602">
        <v>20</v>
      </c>
      <c r="E602">
        <v>92</v>
      </c>
      <c r="F602">
        <v>75</v>
      </c>
      <c r="G602">
        <v>33</v>
      </c>
      <c r="H602">
        <v>40</v>
      </c>
      <c r="I602">
        <v>46</v>
      </c>
      <c r="J602" t="s">
        <v>3747</v>
      </c>
    </row>
    <row r="603" spans="1:10" x14ac:dyDescent="0.2">
      <c r="A603" t="s">
        <v>252</v>
      </c>
      <c r="B603">
        <v>12</v>
      </c>
      <c r="C603">
        <v>36</v>
      </c>
      <c r="D603">
        <v>19</v>
      </c>
      <c r="E603">
        <v>91</v>
      </c>
      <c r="F603">
        <v>77</v>
      </c>
      <c r="G603">
        <v>49</v>
      </c>
      <c r="H603">
        <v>56</v>
      </c>
      <c r="I603">
        <v>62</v>
      </c>
      <c r="J603" t="s">
        <v>3747</v>
      </c>
    </row>
    <row r="604" spans="1:10" x14ac:dyDescent="0.2">
      <c r="A604" t="s">
        <v>253</v>
      </c>
      <c r="B604">
        <v>218</v>
      </c>
      <c r="C604">
        <v>35</v>
      </c>
      <c r="D604">
        <v>27</v>
      </c>
      <c r="E604">
        <v>94</v>
      </c>
      <c r="F604">
        <v>76</v>
      </c>
      <c r="G604">
        <v>37</v>
      </c>
      <c r="H604">
        <v>44</v>
      </c>
      <c r="I604">
        <v>50</v>
      </c>
      <c r="J604" t="s">
        <v>3747</v>
      </c>
    </row>
    <row r="605" spans="1:10" x14ac:dyDescent="0.2">
      <c r="A605" t="s">
        <v>2373</v>
      </c>
      <c r="B605">
        <v>154</v>
      </c>
      <c r="C605">
        <v>35</v>
      </c>
      <c r="D605">
        <v>27</v>
      </c>
      <c r="E605">
        <v>94</v>
      </c>
      <c r="F605">
        <v>76</v>
      </c>
      <c r="G605">
        <v>35</v>
      </c>
      <c r="H605">
        <v>42</v>
      </c>
      <c r="I605">
        <v>49</v>
      </c>
    </row>
    <row r="606" spans="1:10" x14ac:dyDescent="0.2">
      <c r="A606" t="s">
        <v>2374</v>
      </c>
      <c r="B606">
        <v>108</v>
      </c>
      <c r="C606">
        <v>35</v>
      </c>
      <c r="D606">
        <v>27</v>
      </c>
      <c r="E606">
        <v>94</v>
      </c>
      <c r="F606">
        <v>76</v>
      </c>
      <c r="G606">
        <v>35</v>
      </c>
      <c r="H606">
        <v>42</v>
      </c>
      <c r="I606">
        <v>49</v>
      </c>
      <c r="J606" t="s">
        <v>3747</v>
      </c>
    </row>
    <row r="607" spans="1:10" x14ac:dyDescent="0.2">
      <c r="A607" t="s">
        <v>2375</v>
      </c>
      <c r="B607">
        <v>897</v>
      </c>
      <c r="C607">
        <v>36</v>
      </c>
      <c r="D607">
        <v>19</v>
      </c>
      <c r="E607">
        <v>90</v>
      </c>
      <c r="F607">
        <v>74</v>
      </c>
      <c r="G607">
        <v>30</v>
      </c>
      <c r="H607">
        <v>37</v>
      </c>
      <c r="I607">
        <v>43</v>
      </c>
      <c r="J607" t="s">
        <v>3747</v>
      </c>
    </row>
    <row r="608" spans="1:10" x14ac:dyDescent="0.2">
      <c r="A608" t="s">
        <v>2376</v>
      </c>
      <c r="B608">
        <v>27</v>
      </c>
      <c r="C608">
        <v>35</v>
      </c>
      <c r="D608">
        <v>21</v>
      </c>
      <c r="E608">
        <v>91</v>
      </c>
      <c r="F608">
        <v>76</v>
      </c>
      <c r="G608">
        <v>42</v>
      </c>
      <c r="H608">
        <v>49</v>
      </c>
      <c r="I608">
        <v>55</v>
      </c>
      <c r="J608" t="s">
        <v>3747</v>
      </c>
    </row>
    <row r="609" spans="1:10" x14ac:dyDescent="0.2">
      <c r="A609" t="s">
        <v>502</v>
      </c>
      <c r="B609">
        <v>2084</v>
      </c>
      <c r="C609">
        <v>36</v>
      </c>
      <c r="D609">
        <v>15</v>
      </c>
      <c r="E609">
        <v>92</v>
      </c>
      <c r="F609">
        <v>76</v>
      </c>
      <c r="G609">
        <v>41</v>
      </c>
      <c r="H609">
        <v>48</v>
      </c>
      <c r="I609">
        <v>54</v>
      </c>
      <c r="J609" t="s">
        <v>3747</v>
      </c>
    </row>
    <row r="610" spans="1:10" x14ac:dyDescent="0.2">
      <c r="A610" t="s">
        <v>503</v>
      </c>
      <c r="B610">
        <v>1188</v>
      </c>
      <c r="C610">
        <v>35</v>
      </c>
      <c r="D610">
        <v>23</v>
      </c>
      <c r="E610">
        <v>91</v>
      </c>
      <c r="F610">
        <v>72</v>
      </c>
      <c r="G610">
        <v>18</v>
      </c>
      <c r="H610">
        <v>25</v>
      </c>
      <c r="I610">
        <v>31</v>
      </c>
      <c r="J610" t="s">
        <v>3747</v>
      </c>
    </row>
    <row r="611" spans="1:10" x14ac:dyDescent="0.2">
      <c r="A611" t="s">
        <v>504</v>
      </c>
      <c r="B611">
        <v>26</v>
      </c>
      <c r="C611">
        <v>34</v>
      </c>
      <c r="D611">
        <v>27</v>
      </c>
      <c r="E611">
        <v>92</v>
      </c>
      <c r="F611">
        <v>78</v>
      </c>
      <c r="G611">
        <v>54</v>
      </c>
      <c r="H611">
        <v>61</v>
      </c>
      <c r="I611">
        <v>67</v>
      </c>
      <c r="J611" t="s">
        <v>3747</v>
      </c>
    </row>
    <row r="612" spans="1:10" x14ac:dyDescent="0.2">
      <c r="A612" t="s">
        <v>505</v>
      </c>
      <c r="B612">
        <v>126</v>
      </c>
      <c r="C612">
        <v>34</v>
      </c>
      <c r="D612">
        <v>21</v>
      </c>
      <c r="E612">
        <v>92</v>
      </c>
      <c r="F612">
        <v>76</v>
      </c>
      <c r="G612">
        <v>41</v>
      </c>
      <c r="H612">
        <v>48</v>
      </c>
      <c r="I612">
        <v>54</v>
      </c>
      <c r="J612" t="s">
        <v>3747</v>
      </c>
    </row>
    <row r="613" spans="1:10" x14ac:dyDescent="0.2">
      <c r="A613" t="s">
        <v>506</v>
      </c>
      <c r="B613">
        <v>19</v>
      </c>
      <c r="C613">
        <v>35</v>
      </c>
      <c r="D613">
        <v>27</v>
      </c>
      <c r="E613">
        <v>92</v>
      </c>
      <c r="F613">
        <v>78</v>
      </c>
      <c r="G613">
        <v>54</v>
      </c>
      <c r="H613">
        <v>61</v>
      </c>
      <c r="I613">
        <v>67</v>
      </c>
      <c r="J613" t="s">
        <v>3747</v>
      </c>
    </row>
    <row r="614" spans="1:10" x14ac:dyDescent="0.2">
      <c r="A614" t="s">
        <v>507</v>
      </c>
      <c r="B614">
        <v>434</v>
      </c>
      <c r="C614">
        <v>35</v>
      </c>
      <c r="D614">
        <v>20</v>
      </c>
      <c r="E614">
        <v>90</v>
      </c>
      <c r="F614">
        <v>75</v>
      </c>
      <c r="G614">
        <v>38</v>
      </c>
      <c r="H614">
        <v>45</v>
      </c>
      <c r="I614">
        <v>51</v>
      </c>
      <c r="J614" t="s">
        <v>3747</v>
      </c>
    </row>
    <row r="615" spans="1:10" x14ac:dyDescent="0.2">
      <c r="A615" t="s">
        <v>508</v>
      </c>
      <c r="B615">
        <v>159</v>
      </c>
      <c r="C615">
        <v>36</v>
      </c>
      <c r="D615">
        <v>21</v>
      </c>
      <c r="E615">
        <v>91</v>
      </c>
      <c r="F615">
        <v>76</v>
      </c>
      <c r="G615">
        <v>42</v>
      </c>
      <c r="H615">
        <v>49</v>
      </c>
      <c r="I615">
        <v>55</v>
      </c>
      <c r="J615" t="s">
        <v>3747</v>
      </c>
    </row>
    <row r="616" spans="1:10" x14ac:dyDescent="0.2">
      <c r="A616" t="s">
        <v>509</v>
      </c>
      <c r="B616">
        <v>28</v>
      </c>
      <c r="C616">
        <v>34</v>
      </c>
      <c r="D616">
        <v>27</v>
      </c>
      <c r="E616">
        <v>91</v>
      </c>
      <c r="F616">
        <v>78</v>
      </c>
      <c r="G616">
        <v>56</v>
      </c>
      <c r="H616">
        <v>63</v>
      </c>
      <c r="I616">
        <v>69</v>
      </c>
      <c r="J616" t="s">
        <v>3747</v>
      </c>
    </row>
    <row r="617" spans="1:10" x14ac:dyDescent="0.2">
      <c r="A617" t="s">
        <v>510</v>
      </c>
      <c r="B617">
        <v>969</v>
      </c>
      <c r="C617">
        <v>36</v>
      </c>
      <c r="D617">
        <v>23</v>
      </c>
      <c r="E617">
        <v>89</v>
      </c>
      <c r="F617">
        <v>74</v>
      </c>
      <c r="G617">
        <v>33</v>
      </c>
      <c r="H617">
        <v>40</v>
      </c>
      <c r="I617">
        <v>46</v>
      </c>
      <c r="J617" t="s">
        <v>3747</v>
      </c>
    </row>
    <row r="618" spans="1:10" x14ac:dyDescent="0.2">
      <c r="A618" t="s">
        <v>511</v>
      </c>
      <c r="B618">
        <v>1647</v>
      </c>
      <c r="C618">
        <v>46</v>
      </c>
      <c r="D618">
        <v>-16</v>
      </c>
      <c r="E618">
        <v>90</v>
      </c>
      <c r="F618">
        <v>67</v>
      </c>
      <c r="G618">
        <v>-8</v>
      </c>
      <c r="H618">
        <v>-1</v>
      </c>
      <c r="I618">
        <v>5</v>
      </c>
      <c r="J618" t="s">
        <v>831</v>
      </c>
    </row>
    <row r="619" spans="1:10" x14ac:dyDescent="0.2">
      <c r="A619" t="s">
        <v>512</v>
      </c>
      <c r="B619">
        <v>1453</v>
      </c>
      <c r="C619">
        <v>48</v>
      </c>
      <c r="D619">
        <v>-19</v>
      </c>
      <c r="E619">
        <v>87</v>
      </c>
      <c r="F619">
        <v>67</v>
      </c>
      <c r="G619">
        <v>-3</v>
      </c>
      <c r="H619">
        <v>4</v>
      </c>
      <c r="I619">
        <v>10</v>
      </c>
      <c r="J619" t="s">
        <v>3747</v>
      </c>
    </row>
    <row r="620" spans="1:10" x14ac:dyDescent="0.2">
      <c r="A620" t="s">
        <v>513</v>
      </c>
      <c r="B620">
        <v>2585</v>
      </c>
      <c r="C620">
        <v>46</v>
      </c>
      <c r="D620">
        <v>-17</v>
      </c>
      <c r="E620">
        <v>90</v>
      </c>
      <c r="F620">
        <v>66</v>
      </c>
      <c r="G620">
        <v>-13</v>
      </c>
      <c r="H620">
        <v>-6</v>
      </c>
      <c r="I620">
        <v>0</v>
      </c>
      <c r="J620" t="s">
        <v>3747</v>
      </c>
    </row>
    <row r="621" spans="1:10" x14ac:dyDescent="0.2">
      <c r="A621" t="s">
        <v>514</v>
      </c>
      <c r="B621">
        <v>869</v>
      </c>
      <c r="C621">
        <v>46</v>
      </c>
      <c r="D621">
        <v>-17</v>
      </c>
      <c r="E621">
        <v>88</v>
      </c>
      <c r="F621">
        <v>70</v>
      </c>
      <c r="G621">
        <v>11</v>
      </c>
      <c r="H621">
        <v>18</v>
      </c>
      <c r="I621">
        <v>24</v>
      </c>
      <c r="J621" t="s">
        <v>3747</v>
      </c>
    </row>
    <row r="622" spans="1:10" x14ac:dyDescent="0.2">
      <c r="A622" t="s">
        <v>515</v>
      </c>
      <c r="B622">
        <v>911</v>
      </c>
      <c r="C622">
        <v>48</v>
      </c>
      <c r="D622">
        <v>-16</v>
      </c>
      <c r="E622">
        <v>88</v>
      </c>
      <c r="F622">
        <v>69</v>
      </c>
      <c r="G622">
        <v>6</v>
      </c>
      <c r="H622">
        <v>13</v>
      </c>
      <c r="I622">
        <v>19</v>
      </c>
      <c r="J622" t="s">
        <v>3747</v>
      </c>
    </row>
    <row r="623" spans="1:10" x14ac:dyDescent="0.2">
      <c r="A623" t="s">
        <v>516</v>
      </c>
      <c r="B623">
        <v>1498</v>
      </c>
      <c r="C623">
        <v>47</v>
      </c>
      <c r="D623">
        <v>-18</v>
      </c>
      <c r="E623">
        <v>90</v>
      </c>
      <c r="F623">
        <v>69</v>
      </c>
      <c r="G623">
        <v>3</v>
      </c>
      <c r="H623">
        <v>10</v>
      </c>
      <c r="I623">
        <v>16</v>
      </c>
      <c r="J623" t="s">
        <v>831</v>
      </c>
    </row>
    <row r="624" spans="1:10" x14ac:dyDescent="0.2">
      <c r="A624" t="s">
        <v>517</v>
      </c>
      <c r="B624">
        <v>1668</v>
      </c>
      <c r="C624">
        <v>48</v>
      </c>
      <c r="D624">
        <v>-16</v>
      </c>
      <c r="E624">
        <v>88</v>
      </c>
      <c r="F624">
        <v>66</v>
      </c>
      <c r="G624">
        <v>-10</v>
      </c>
      <c r="H624">
        <v>-3</v>
      </c>
      <c r="I624">
        <v>3</v>
      </c>
      <c r="J624" t="s">
        <v>3747</v>
      </c>
    </row>
    <row r="625" spans="1:10" x14ac:dyDescent="0.2">
      <c r="A625" t="s">
        <v>518</v>
      </c>
      <c r="B625">
        <v>1667</v>
      </c>
      <c r="C625">
        <v>48</v>
      </c>
      <c r="D625">
        <v>-16</v>
      </c>
      <c r="E625">
        <v>90</v>
      </c>
      <c r="F625">
        <v>67</v>
      </c>
      <c r="G625">
        <v>-8</v>
      </c>
      <c r="H625">
        <v>-1</v>
      </c>
      <c r="I625">
        <v>5</v>
      </c>
      <c r="J625" t="s">
        <v>831</v>
      </c>
    </row>
    <row r="626" spans="1:10" x14ac:dyDescent="0.2">
      <c r="A626" t="s">
        <v>519</v>
      </c>
      <c r="B626">
        <v>1906</v>
      </c>
      <c r="C626">
        <v>48</v>
      </c>
      <c r="D626">
        <v>-18</v>
      </c>
      <c r="E626">
        <v>92</v>
      </c>
      <c r="F626">
        <v>66</v>
      </c>
      <c r="G626">
        <v>-16</v>
      </c>
      <c r="H626">
        <v>-9</v>
      </c>
      <c r="I626">
        <v>-3</v>
      </c>
      <c r="J626" t="s">
        <v>3747</v>
      </c>
    </row>
    <row r="627" spans="1:10" x14ac:dyDescent="0.2">
      <c r="A627" t="s">
        <v>520</v>
      </c>
      <c r="B627">
        <v>1228</v>
      </c>
      <c r="C627">
        <v>41</v>
      </c>
      <c r="D627">
        <v>5</v>
      </c>
      <c r="E627">
        <v>85</v>
      </c>
      <c r="F627">
        <v>71</v>
      </c>
      <c r="G627">
        <v>22</v>
      </c>
      <c r="H627">
        <v>29</v>
      </c>
      <c r="I627">
        <v>35</v>
      </c>
      <c r="J627" t="s">
        <v>3747</v>
      </c>
    </row>
    <row r="628" spans="1:10" x14ac:dyDescent="0.2">
      <c r="A628" t="s">
        <v>521</v>
      </c>
      <c r="B628">
        <v>924</v>
      </c>
      <c r="C628">
        <v>41</v>
      </c>
      <c r="D628">
        <v>9</v>
      </c>
      <c r="E628">
        <v>85</v>
      </c>
      <c r="F628">
        <v>72</v>
      </c>
      <c r="G628">
        <v>28</v>
      </c>
      <c r="H628">
        <v>35</v>
      </c>
      <c r="I628">
        <v>41</v>
      </c>
      <c r="J628" t="s">
        <v>3747</v>
      </c>
    </row>
    <row r="629" spans="1:10" x14ac:dyDescent="0.2">
      <c r="A629" t="s">
        <v>522</v>
      </c>
      <c r="B629">
        <v>766</v>
      </c>
      <c r="C629">
        <v>39</v>
      </c>
      <c r="D629">
        <v>6</v>
      </c>
      <c r="E629">
        <v>92</v>
      </c>
      <c r="F629">
        <v>74</v>
      </c>
      <c r="G629">
        <v>28</v>
      </c>
      <c r="H629">
        <v>35</v>
      </c>
      <c r="I629">
        <v>41</v>
      </c>
      <c r="J629" t="s">
        <v>3747</v>
      </c>
    </row>
    <row r="630" spans="1:10" x14ac:dyDescent="0.2">
      <c r="A630" t="s">
        <v>523</v>
      </c>
      <c r="B630">
        <v>673</v>
      </c>
      <c r="C630">
        <v>41</v>
      </c>
      <c r="D630">
        <v>2</v>
      </c>
      <c r="E630">
        <v>89</v>
      </c>
      <c r="F630">
        <v>73</v>
      </c>
      <c r="G630">
        <v>27</v>
      </c>
      <c r="H630">
        <v>34</v>
      </c>
      <c r="I630">
        <v>40</v>
      </c>
      <c r="J630" t="s">
        <v>3747</v>
      </c>
    </row>
    <row r="631" spans="1:10" x14ac:dyDescent="0.2">
      <c r="A631" t="s">
        <v>524</v>
      </c>
      <c r="B631">
        <v>800</v>
      </c>
      <c r="C631">
        <v>40</v>
      </c>
      <c r="D631">
        <v>7</v>
      </c>
      <c r="E631">
        <v>90</v>
      </c>
      <c r="F631">
        <v>74</v>
      </c>
      <c r="G631">
        <v>31</v>
      </c>
      <c r="H631">
        <v>38</v>
      </c>
      <c r="I631">
        <v>44</v>
      </c>
      <c r="J631" t="s">
        <v>3747</v>
      </c>
    </row>
    <row r="632" spans="1:10" x14ac:dyDescent="0.2">
      <c r="A632" t="s">
        <v>525</v>
      </c>
      <c r="B632">
        <v>640</v>
      </c>
      <c r="C632">
        <v>39</v>
      </c>
      <c r="D632">
        <v>6</v>
      </c>
      <c r="E632">
        <v>92</v>
      </c>
      <c r="F632">
        <v>74</v>
      </c>
      <c r="G632">
        <v>28</v>
      </c>
      <c r="H632">
        <v>35</v>
      </c>
      <c r="I632">
        <v>41</v>
      </c>
      <c r="J632" t="s">
        <v>3747</v>
      </c>
    </row>
    <row r="633" spans="1:10" x14ac:dyDescent="0.2">
      <c r="A633" t="s">
        <v>526</v>
      </c>
      <c r="B633">
        <v>869</v>
      </c>
      <c r="C633">
        <v>39</v>
      </c>
      <c r="D633">
        <v>12</v>
      </c>
      <c r="E633">
        <v>90</v>
      </c>
      <c r="F633">
        <v>75</v>
      </c>
      <c r="G633">
        <v>38</v>
      </c>
      <c r="H633">
        <v>45</v>
      </c>
      <c r="I633">
        <v>51</v>
      </c>
      <c r="J633" t="s">
        <v>3747</v>
      </c>
    </row>
    <row r="634" spans="1:10" x14ac:dyDescent="0.2">
      <c r="A634" t="s">
        <v>527</v>
      </c>
      <c r="B634">
        <v>777</v>
      </c>
      <c r="C634">
        <v>41</v>
      </c>
      <c r="D634">
        <v>6</v>
      </c>
      <c r="E634">
        <v>86</v>
      </c>
      <c r="F634">
        <v>72</v>
      </c>
      <c r="G634">
        <v>26</v>
      </c>
      <c r="H634">
        <v>33</v>
      </c>
      <c r="I634">
        <v>39</v>
      </c>
      <c r="J634" t="s">
        <v>3747</v>
      </c>
    </row>
    <row r="635" spans="1:10" x14ac:dyDescent="0.2">
      <c r="A635" t="s">
        <v>528</v>
      </c>
      <c r="B635">
        <v>812</v>
      </c>
      <c r="C635">
        <v>40</v>
      </c>
      <c r="D635">
        <v>6</v>
      </c>
      <c r="E635">
        <v>88</v>
      </c>
      <c r="F635">
        <v>73</v>
      </c>
      <c r="G635">
        <v>29</v>
      </c>
      <c r="H635">
        <v>36</v>
      </c>
      <c r="I635">
        <v>42</v>
      </c>
      <c r="J635" t="s">
        <v>3747</v>
      </c>
    </row>
    <row r="636" spans="1:10" x14ac:dyDescent="0.2">
      <c r="A636" t="s">
        <v>529</v>
      </c>
      <c r="B636">
        <v>744</v>
      </c>
      <c r="C636">
        <v>39</v>
      </c>
      <c r="D636">
        <v>10</v>
      </c>
      <c r="E636">
        <v>89</v>
      </c>
      <c r="F636">
        <v>73</v>
      </c>
      <c r="G636">
        <v>27</v>
      </c>
      <c r="H636">
        <v>34</v>
      </c>
      <c r="I636">
        <v>40</v>
      </c>
      <c r="J636" t="s">
        <v>3747</v>
      </c>
    </row>
    <row r="637" spans="1:10" x14ac:dyDescent="0.2">
      <c r="A637" t="s">
        <v>530</v>
      </c>
      <c r="B637">
        <v>1002</v>
      </c>
      <c r="C637">
        <v>39</v>
      </c>
      <c r="D637">
        <v>5</v>
      </c>
      <c r="E637">
        <v>88</v>
      </c>
      <c r="F637">
        <v>73</v>
      </c>
      <c r="G637">
        <v>29</v>
      </c>
      <c r="H637">
        <v>36</v>
      </c>
      <c r="I637">
        <v>42</v>
      </c>
      <c r="J637" t="s">
        <v>3747</v>
      </c>
    </row>
    <row r="638" spans="1:10" x14ac:dyDescent="0.2">
      <c r="A638" t="s">
        <v>531</v>
      </c>
      <c r="B638">
        <v>824</v>
      </c>
      <c r="C638">
        <v>39</v>
      </c>
      <c r="D638">
        <v>8</v>
      </c>
      <c r="E638">
        <v>89</v>
      </c>
      <c r="F638">
        <v>74</v>
      </c>
      <c r="G638">
        <v>33</v>
      </c>
      <c r="H638">
        <v>40</v>
      </c>
      <c r="I638">
        <v>46</v>
      </c>
      <c r="J638" t="s">
        <v>3747</v>
      </c>
    </row>
    <row r="639" spans="1:10" x14ac:dyDescent="0.2">
      <c r="A639" t="s">
        <v>3243</v>
      </c>
      <c r="B639">
        <v>708</v>
      </c>
      <c r="C639">
        <v>41</v>
      </c>
      <c r="D639">
        <v>4</v>
      </c>
      <c r="E639">
        <v>91</v>
      </c>
      <c r="F639">
        <v>73</v>
      </c>
      <c r="G639">
        <v>24</v>
      </c>
      <c r="H639">
        <v>31</v>
      </c>
      <c r="I639">
        <v>37</v>
      </c>
      <c r="J639" t="s">
        <v>3747</v>
      </c>
    </row>
    <row r="640" spans="1:10" x14ac:dyDescent="0.2">
      <c r="A640" t="s">
        <v>3244</v>
      </c>
      <c r="B640">
        <v>810</v>
      </c>
      <c r="C640">
        <v>41</v>
      </c>
      <c r="D640">
        <v>4</v>
      </c>
      <c r="E640">
        <v>87</v>
      </c>
      <c r="F640">
        <v>72</v>
      </c>
      <c r="G640">
        <v>24</v>
      </c>
      <c r="H640">
        <v>31</v>
      </c>
      <c r="I640">
        <v>37</v>
      </c>
      <c r="J640" t="s">
        <v>3747</v>
      </c>
    </row>
    <row r="641" spans="1:10" x14ac:dyDescent="0.2">
      <c r="A641" t="s">
        <v>3245</v>
      </c>
      <c r="B641">
        <v>663</v>
      </c>
      <c r="C641">
        <v>41</v>
      </c>
      <c r="D641">
        <v>1</v>
      </c>
      <c r="E641">
        <v>88</v>
      </c>
      <c r="F641">
        <v>73</v>
      </c>
      <c r="G641">
        <v>29</v>
      </c>
      <c r="H641">
        <v>36</v>
      </c>
      <c r="I641">
        <v>42</v>
      </c>
      <c r="J641" t="s">
        <v>3747</v>
      </c>
    </row>
    <row r="642" spans="1:10" x14ac:dyDescent="0.2">
      <c r="A642" t="s">
        <v>3246</v>
      </c>
      <c r="B642">
        <v>634</v>
      </c>
      <c r="C642">
        <v>39</v>
      </c>
      <c r="D642">
        <v>5</v>
      </c>
      <c r="E642">
        <v>90</v>
      </c>
      <c r="F642">
        <v>72</v>
      </c>
      <c r="G642">
        <v>19</v>
      </c>
      <c r="H642">
        <v>26</v>
      </c>
      <c r="I642">
        <v>32</v>
      </c>
      <c r="J642" t="s">
        <v>3747</v>
      </c>
    </row>
    <row r="643" spans="1:10" x14ac:dyDescent="0.2">
      <c r="A643" t="s">
        <v>3247</v>
      </c>
      <c r="B643">
        <v>869</v>
      </c>
      <c r="C643">
        <v>39</v>
      </c>
      <c r="D643">
        <v>5</v>
      </c>
      <c r="E643">
        <v>91</v>
      </c>
      <c r="F643">
        <v>73</v>
      </c>
      <c r="G643">
        <v>24</v>
      </c>
      <c r="H643">
        <v>31</v>
      </c>
      <c r="I643">
        <v>37</v>
      </c>
      <c r="J643" t="s">
        <v>3747</v>
      </c>
    </row>
    <row r="644" spans="1:10" x14ac:dyDescent="0.2">
      <c r="A644" t="s">
        <v>3248</v>
      </c>
      <c r="B644">
        <v>975</v>
      </c>
      <c r="C644">
        <v>40</v>
      </c>
      <c r="D644">
        <v>4</v>
      </c>
      <c r="E644">
        <v>91</v>
      </c>
      <c r="F644">
        <v>73</v>
      </c>
      <c r="G644">
        <v>24</v>
      </c>
      <c r="H644">
        <v>31</v>
      </c>
      <c r="I644">
        <v>37</v>
      </c>
      <c r="J644" t="s">
        <v>3747</v>
      </c>
    </row>
    <row r="645" spans="1:10" x14ac:dyDescent="0.2">
      <c r="A645" t="s">
        <v>3249</v>
      </c>
      <c r="B645">
        <v>1295</v>
      </c>
      <c r="C645">
        <v>40</v>
      </c>
      <c r="D645">
        <v>4</v>
      </c>
      <c r="E645">
        <v>85</v>
      </c>
      <c r="F645">
        <v>72</v>
      </c>
      <c r="G645">
        <v>28</v>
      </c>
      <c r="H645">
        <v>35</v>
      </c>
      <c r="I645">
        <v>41</v>
      </c>
      <c r="J645" t="s">
        <v>3747</v>
      </c>
    </row>
    <row r="646" spans="1:10" x14ac:dyDescent="0.2">
      <c r="A646" t="s">
        <v>3250</v>
      </c>
      <c r="B646">
        <v>994</v>
      </c>
      <c r="C646">
        <v>40</v>
      </c>
      <c r="D646">
        <v>5</v>
      </c>
      <c r="E646">
        <v>91</v>
      </c>
      <c r="F646">
        <v>73</v>
      </c>
      <c r="G646">
        <v>24</v>
      </c>
      <c r="H646">
        <v>31</v>
      </c>
      <c r="I646">
        <v>37</v>
      </c>
      <c r="J646" t="s">
        <v>3747</v>
      </c>
    </row>
    <row r="647" spans="1:10" x14ac:dyDescent="0.2">
      <c r="A647" t="s">
        <v>3251</v>
      </c>
      <c r="B647">
        <v>651</v>
      </c>
      <c r="C647">
        <v>39</v>
      </c>
      <c r="D647">
        <v>5</v>
      </c>
      <c r="E647">
        <v>90</v>
      </c>
      <c r="F647">
        <v>72</v>
      </c>
      <c r="G647">
        <v>19</v>
      </c>
      <c r="H647">
        <v>26</v>
      </c>
      <c r="I647">
        <v>32</v>
      </c>
      <c r="J647" t="s">
        <v>3747</v>
      </c>
    </row>
    <row r="648" spans="1:10" x14ac:dyDescent="0.2">
      <c r="A648" t="s">
        <v>3252</v>
      </c>
      <c r="B648">
        <v>880</v>
      </c>
      <c r="C648">
        <v>40</v>
      </c>
      <c r="D648">
        <v>5</v>
      </c>
      <c r="E648">
        <v>92</v>
      </c>
      <c r="F648">
        <v>73</v>
      </c>
      <c r="G648">
        <v>22</v>
      </c>
      <c r="H648">
        <v>29</v>
      </c>
      <c r="I648">
        <v>35</v>
      </c>
      <c r="J648" t="s">
        <v>3747</v>
      </c>
    </row>
    <row r="649" spans="1:10" x14ac:dyDescent="0.2">
      <c r="A649" t="s">
        <v>3253</v>
      </c>
      <c r="B649">
        <v>852</v>
      </c>
      <c r="C649">
        <v>41</v>
      </c>
      <c r="D649">
        <v>1</v>
      </c>
      <c r="E649">
        <v>88</v>
      </c>
      <c r="F649">
        <v>73</v>
      </c>
      <c r="G649">
        <v>29</v>
      </c>
      <c r="H649">
        <v>36</v>
      </c>
      <c r="I649">
        <v>42</v>
      </c>
      <c r="J649" t="s">
        <v>3747</v>
      </c>
    </row>
    <row r="650" spans="1:10" x14ac:dyDescent="0.2">
      <c r="A650" t="s">
        <v>3254</v>
      </c>
      <c r="B650">
        <v>540</v>
      </c>
      <c r="C650">
        <v>38</v>
      </c>
      <c r="D650">
        <v>10</v>
      </c>
      <c r="E650">
        <v>92</v>
      </c>
      <c r="F650">
        <v>74</v>
      </c>
      <c r="G650">
        <v>28</v>
      </c>
      <c r="H650">
        <v>35</v>
      </c>
      <c r="I650">
        <v>41</v>
      </c>
      <c r="J650" t="s">
        <v>3747</v>
      </c>
    </row>
    <row r="651" spans="1:10" x14ac:dyDescent="0.2">
      <c r="A651" t="s">
        <v>3255</v>
      </c>
      <c r="B651">
        <v>580</v>
      </c>
      <c r="C651">
        <v>41</v>
      </c>
      <c r="D651">
        <v>6</v>
      </c>
      <c r="E651">
        <v>91</v>
      </c>
      <c r="F651">
        <v>72</v>
      </c>
      <c r="G651">
        <v>18</v>
      </c>
      <c r="H651">
        <v>25</v>
      </c>
      <c r="I651">
        <v>31</v>
      </c>
      <c r="J651" t="s">
        <v>3747</v>
      </c>
    </row>
    <row r="652" spans="1:10" x14ac:dyDescent="0.2">
      <c r="A652" t="s">
        <v>3256</v>
      </c>
      <c r="B652">
        <v>1052</v>
      </c>
      <c r="C652">
        <v>40</v>
      </c>
      <c r="D652">
        <v>3</v>
      </c>
      <c r="E652">
        <v>89</v>
      </c>
      <c r="F652">
        <v>73</v>
      </c>
      <c r="G652">
        <v>27</v>
      </c>
      <c r="H652">
        <v>34</v>
      </c>
      <c r="I652">
        <v>40</v>
      </c>
      <c r="J652" t="s">
        <v>3747</v>
      </c>
    </row>
    <row r="653" spans="1:10" x14ac:dyDescent="0.2">
      <c r="A653" t="s">
        <v>3257</v>
      </c>
      <c r="B653">
        <v>1194</v>
      </c>
      <c r="C653">
        <v>40</v>
      </c>
      <c r="D653">
        <v>5</v>
      </c>
      <c r="E653">
        <v>86</v>
      </c>
      <c r="F653">
        <v>71</v>
      </c>
      <c r="G653">
        <v>20</v>
      </c>
      <c r="H653">
        <v>27</v>
      </c>
      <c r="I653">
        <v>33</v>
      </c>
      <c r="J653" t="s">
        <v>3747</v>
      </c>
    </row>
    <row r="654" spans="1:10" x14ac:dyDescent="0.2">
      <c r="A654" t="s">
        <v>3258</v>
      </c>
      <c r="B654">
        <v>669</v>
      </c>
      <c r="C654">
        <v>41</v>
      </c>
      <c r="D654">
        <v>3</v>
      </c>
      <c r="E654">
        <v>87</v>
      </c>
      <c r="F654">
        <v>72</v>
      </c>
      <c r="G654">
        <v>24</v>
      </c>
      <c r="H654">
        <v>31</v>
      </c>
      <c r="I654">
        <v>37</v>
      </c>
      <c r="J654" t="s">
        <v>3747</v>
      </c>
    </row>
    <row r="655" spans="1:10" x14ac:dyDescent="0.2">
      <c r="A655" t="s">
        <v>3259</v>
      </c>
      <c r="B655">
        <v>905</v>
      </c>
      <c r="C655">
        <v>41</v>
      </c>
      <c r="D655">
        <v>5</v>
      </c>
      <c r="E655">
        <v>87</v>
      </c>
      <c r="F655">
        <v>71</v>
      </c>
      <c r="G655">
        <v>19</v>
      </c>
      <c r="H655">
        <v>26</v>
      </c>
      <c r="I655">
        <v>32</v>
      </c>
      <c r="J655" t="s">
        <v>3747</v>
      </c>
    </row>
    <row r="656" spans="1:10" x14ac:dyDescent="0.2">
      <c r="A656" t="s">
        <v>3260</v>
      </c>
      <c r="B656">
        <v>1136</v>
      </c>
      <c r="C656">
        <v>40</v>
      </c>
      <c r="D656">
        <v>6</v>
      </c>
      <c r="E656">
        <v>86</v>
      </c>
      <c r="F656">
        <v>71</v>
      </c>
      <c r="G656">
        <v>20</v>
      </c>
      <c r="H656">
        <v>27</v>
      </c>
      <c r="I656">
        <v>33</v>
      </c>
      <c r="J656" t="s">
        <v>3747</v>
      </c>
    </row>
    <row r="657" spans="1:10" x14ac:dyDescent="0.2">
      <c r="A657" t="s">
        <v>3261</v>
      </c>
      <c r="B657">
        <v>1178</v>
      </c>
      <c r="C657">
        <v>41</v>
      </c>
      <c r="D657">
        <v>4</v>
      </c>
      <c r="E657">
        <v>85</v>
      </c>
      <c r="F657">
        <v>70</v>
      </c>
      <c r="G657">
        <v>16</v>
      </c>
      <c r="H657">
        <v>23</v>
      </c>
      <c r="I657">
        <v>29</v>
      </c>
      <c r="J657" t="s">
        <v>3747</v>
      </c>
    </row>
    <row r="658" spans="1:10" x14ac:dyDescent="0.2">
      <c r="A658" t="s">
        <v>3262</v>
      </c>
      <c r="B658">
        <v>900</v>
      </c>
      <c r="C658">
        <v>40</v>
      </c>
      <c r="D658">
        <v>9</v>
      </c>
      <c r="E658">
        <v>88</v>
      </c>
      <c r="F658">
        <v>73</v>
      </c>
      <c r="G658">
        <v>29</v>
      </c>
      <c r="H658">
        <v>36</v>
      </c>
      <c r="I658">
        <v>42</v>
      </c>
      <c r="J658" t="s">
        <v>3747</v>
      </c>
    </row>
    <row r="659" spans="1:10" x14ac:dyDescent="0.2">
      <c r="A659" t="s">
        <v>3263</v>
      </c>
      <c r="B659">
        <v>1016</v>
      </c>
      <c r="C659">
        <v>34</v>
      </c>
      <c r="D659">
        <v>14</v>
      </c>
      <c r="E659">
        <v>97</v>
      </c>
      <c r="F659">
        <v>74</v>
      </c>
      <c r="G659">
        <v>20</v>
      </c>
      <c r="H659">
        <v>27</v>
      </c>
      <c r="I659">
        <v>33</v>
      </c>
      <c r="J659" t="s">
        <v>3747</v>
      </c>
    </row>
    <row r="660" spans="1:10" x14ac:dyDescent="0.2">
      <c r="A660" t="s">
        <v>3264</v>
      </c>
      <c r="B660">
        <v>1378</v>
      </c>
      <c r="C660">
        <v>34</v>
      </c>
      <c r="D660">
        <v>19</v>
      </c>
      <c r="E660">
        <v>100</v>
      </c>
      <c r="F660">
        <v>73</v>
      </c>
      <c r="G660">
        <v>9</v>
      </c>
      <c r="H660">
        <v>16</v>
      </c>
      <c r="I660">
        <v>22</v>
      </c>
      <c r="J660" t="s">
        <v>3747</v>
      </c>
    </row>
    <row r="661" spans="1:10" x14ac:dyDescent="0.2">
      <c r="A661" t="s">
        <v>3265</v>
      </c>
      <c r="B661">
        <v>844</v>
      </c>
      <c r="C661">
        <v>34</v>
      </c>
      <c r="D661">
        <v>17</v>
      </c>
      <c r="E661">
        <v>98</v>
      </c>
      <c r="F661">
        <v>74</v>
      </c>
      <c r="G661">
        <v>18</v>
      </c>
      <c r="H661">
        <v>25</v>
      </c>
      <c r="I661">
        <v>31</v>
      </c>
      <c r="J661" t="s">
        <v>3747</v>
      </c>
    </row>
    <row r="662" spans="1:10" x14ac:dyDescent="0.2">
      <c r="A662" t="s">
        <v>3266</v>
      </c>
      <c r="B662">
        <v>713</v>
      </c>
      <c r="C662">
        <v>36</v>
      </c>
      <c r="D662">
        <v>10</v>
      </c>
      <c r="E662">
        <v>98</v>
      </c>
      <c r="F662">
        <v>74</v>
      </c>
      <c r="G662">
        <v>18</v>
      </c>
      <c r="H662">
        <v>25</v>
      </c>
      <c r="I662">
        <v>31</v>
      </c>
      <c r="J662" t="s">
        <v>3747</v>
      </c>
    </row>
    <row r="663" spans="1:10" x14ac:dyDescent="0.2">
      <c r="A663" t="s">
        <v>3267</v>
      </c>
      <c r="B663">
        <v>1150</v>
      </c>
      <c r="C663">
        <v>35</v>
      </c>
      <c r="D663">
        <v>14</v>
      </c>
      <c r="E663">
        <v>98</v>
      </c>
      <c r="F663">
        <v>74</v>
      </c>
      <c r="G663">
        <v>18</v>
      </c>
      <c r="H663">
        <v>25</v>
      </c>
      <c r="I663">
        <v>31</v>
      </c>
      <c r="J663" t="s">
        <v>3747</v>
      </c>
    </row>
    <row r="664" spans="1:10" x14ac:dyDescent="0.2">
      <c r="A664" t="s">
        <v>3268</v>
      </c>
      <c r="B664">
        <v>1307</v>
      </c>
      <c r="C664">
        <v>36</v>
      </c>
      <c r="D664">
        <v>12</v>
      </c>
      <c r="E664">
        <v>98</v>
      </c>
      <c r="F664">
        <v>74</v>
      </c>
      <c r="G664">
        <v>18</v>
      </c>
      <c r="H664">
        <v>25</v>
      </c>
      <c r="I664">
        <v>31</v>
      </c>
      <c r="J664" t="s">
        <v>3747</v>
      </c>
    </row>
    <row r="665" spans="1:10" x14ac:dyDescent="0.2">
      <c r="A665" t="s">
        <v>3269</v>
      </c>
      <c r="B665">
        <v>1188</v>
      </c>
      <c r="C665">
        <v>34</v>
      </c>
      <c r="D665">
        <v>19</v>
      </c>
      <c r="E665">
        <v>97</v>
      </c>
      <c r="F665">
        <v>73</v>
      </c>
      <c r="G665">
        <v>14</v>
      </c>
      <c r="H665">
        <v>21</v>
      </c>
      <c r="I665">
        <v>27</v>
      </c>
      <c r="J665" t="s">
        <v>3747</v>
      </c>
    </row>
    <row r="666" spans="1:10" x14ac:dyDescent="0.2">
      <c r="A666" t="s">
        <v>3270</v>
      </c>
      <c r="B666">
        <v>776</v>
      </c>
      <c r="C666">
        <v>34</v>
      </c>
      <c r="D666">
        <v>17</v>
      </c>
      <c r="E666">
        <v>96</v>
      </c>
      <c r="F666">
        <v>76</v>
      </c>
      <c r="G666">
        <v>34</v>
      </c>
      <c r="H666">
        <v>41</v>
      </c>
      <c r="I666">
        <v>47</v>
      </c>
      <c r="J666" t="s">
        <v>3747</v>
      </c>
    </row>
    <row r="667" spans="1:10" x14ac:dyDescent="0.2">
      <c r="A667" t="s">
        <v>3271</v>
      </c>
      <c r="B667">
        <v>610</v>
      </c>
      <c r="C667">
        <v>35</v>
      </c>
      <c r="D667">
        <v>15</v>
      </c>
      <c r="E667">
        <v>98</v>
      </c>
      <c r="F667">
        <v>75</v>
      </c>
      <c r="G667">
        <v>25</v>
      </c>
      <c r="H667">
        <v>32</v>
      </c>
      <c r="I667">
        <v>38</v>
      </c>
      <c r="J667" t="s">
        <v>3747</v>
      </c>
    </row>
    <row r="668" spans="1:10" x14ac:dyDescent="0.2">
      <c r="A668" t="s">
        <v>3272</v>
      </c>
      <c r="B668">
        <v>35</v>
      </c>
      <c r="C668">
        <v>13</v>
      </c>
      <c r="D668">
        <v>96</v>
      </c>
      <c r="E668">
        <v>74</v>
      </c>
      <c r="F668">
        <v>22</v>
      </c>
      <c r="G668">
        <v>29</v>
      </c>
      <c r="H668">
        <v>35</v>
      </c>
      <c r="I668" t="s">
        <v>3747</v>
      </c>
    </row>
    <row r="669" spans="1:10" x14ac:dyDescent="0.2">
      <c r="A669" t="s">
        <v>3273</v>
      </c>
      <c r="B669">
        <v>1262</v>
      </c>
      <c r="C669">
        <v>35</v>
      </c>
      <c r="D669">
        <v>17</v>
      </c>
      <c r="E669">
        <v>96</v>
      </c>
      <c r="F669">
        <v>75</v>
      </c>
      <c r="G669">
        <v>28</v>
      </c>
      <c r="H669">
        <v>35</v>
      </c>
      <c r="I669">
        <v>41</v>
      </c>
      <c r="J669" t="s">
        <v>3747</v>
      </c>
    </row>
    <row r="670" spans="1:10" x14ac:dyDescent="0.2">
      <c r="A670" t="s">
        <v>3274</v>
      </c>
      <c r="B670">
        <v>1285</v>
      </c>
      <c r="C670">
        <v>35</v>
      </c>
      <c r="D670">
        <v>15</v>
      </c>
      <c r="E670">
        <v>96</v>
      </c>
      <c r="F670">
        <v>74</v>
      </c>
      <c r="G670">
        <v>22</v>
      </c>
      <c r="H670">
        <v>29</v>
      </c>
      <c r="I670">
        <v>35</v>
      </c>
      <c r="J670" t="s">
        <v>3747</v>
      </c>
    </row>
    <row r="671" spans="1:10" x14ac:dyDescent="0.2">
      <c r="A671" t="s">
        <v>3275</v>
      </c>
      <c r="B671">
        <v>1007</v>
      </c>
      <c r="C671">
        <v>36</v>
      </c>
      <c r="D671">
        <v>9</v>
      </c>
      <c r="E671">
        <v>97</v>
      </c>
      <c r="F671">
        <v>74</v>
      </c>
      <c r="G671">
        <v>20</v>
      </c>
      <c r="H671">
        <v>27</v>
      </c>
      <c r="I671">
        <v>33</v>
      </c>
      <c r="J671" t="s">
        <v>3747</v>
      </c>
    </row>
    <row r="672" spans="1:10" x14ac:dyDescent="0.2">
      <c r="A672" t="s">
        <v>3276</v>
      </c>
      <c r="B672">
        <v>1021</v>
      </c>
      <c r="C672">
        <v>35</v>
      </c>
      <c r="D672">
        <v>15</v>
      </c>
      <c r="E672">
        <v>96</v>
      </c>
      <c r="F672">
        <v>74</v>
      </c>
      <c r="G672">
        <v>22</v>
      </c>
      <c r="H672">
        <v>29</v>
      </c>
      <c r="I672">
        <v>41</v>
      </c>
      <c r="J672" t="s">
        <v>3747</v>
      </c>
    </row>
    <row r="673" spans="1:10" x14ac:dyDescent="0.2">
      <c r="A673" t="s">
        <v>3277</v>
      </c>
      <c r="B673">
        <v>984</v>
      </c>
      <c r="C673">
        <v>36</v>
      </c>
      <c r="D673">
        <v>13</v>
      </c>
      <c r="E673">
        <v>96</v>
      </c>
      <c r="F673">
        <v>74</v>
      </c>
      <c r="G673">
        <v>22</v>
      </c>
      <c r="H673">
        <v>29</v>
      </c>
      <c r="I673">
        <v>41</v>
      </c>
      <c r="J673" t="s">
        <v>3747</v>
      </c>
    </row>
    <row r="674" spans="1:10" x14ac:dyDescent="0.2">
      <c r="A674" t="s">
        <v>3278</v>
      </c>
      <c r="B674">
        <v>650</v>
      </c>
      <c r="C674">
        <v>36</v>
      </c>
      <c r="D674">
        <v>14</v>
      </c>
      <c r="E674">
        <v>97</v>
      </c>
      <c r="F674">
        <v>76</v>
      </c>
      <c r="G674">
        <v>33</v>
      </c>
      <c r="H674">
        <v>40</v>
      </c>
      <c r="I674">
        <v>46</v>
      </c>
      <c r="J674" t="s">
        <v>3747</v>
      </c>
    </row>
    <row r="675" spans="1:10" x14ac:dyDescent="0.2">
      <c r="A675" t="s">
        <v>3279</v>
      </c>
      <c r="B675">
        <v>2188</v>
      </c>
      <c r="C675">
        <v>36</v>
      </c>
      <c r="D675">
        <v>10</v>
      </c>
      <c r="E675">
        <v>97</v>
      </c>
      <c r="F675">
        <v>73</v>
      </c>
      <c r="G675">
        <v>14</v>
      </c>
      <c r="H675">
        <v>21</v>
      </c>
      <c r="I675">
        <v>27</v>
      </c>
      <c r="J675" t="s">
        <v>831</v>
      </c>
    </row>
    <row r="676" spans="1:10" x14ac:dyDescent="0.2">
      <c r="A676" t="s">
        <v>3280</v>
      </c>
      <c r="B676">
        <v>223</v>
      </c>
      <c r="C676">
        <v>44</v>
      </c>
      <c r="D676">
        <v>22</v>
      </c>
      <c r="E676">
        <v>89</v>
      </c>
      <c r="F676">
        <v>66</v>
      </c>
      <c r="G676">
        <v>-12</v>
      </c>
      <c r="H676">
        <v>-5</v>
      </c>
      <c r="I676">
        <v>1</v>
      </c>
      <c r="J676" t="s">
        <v>831</v>
      </c>
    </row>
    <row r="677" spans="1:10" x14ac:dyDescent="0.2">
      <c r="A677" t="s">
        <v>3281</v>
      </c>
      <c r="B677">
        <v>8</v>
      </c>
      <c r="C677">
        <v>46</v>
      </c>
      <c r="D677">
        <v>29</v>
      </c>
      <c r="E677">
        <v>72</v>
      </c>
      <c r="F677">
        <v>63</v>
      </c>
      <c r="G677">
        <v>0</v>
      </c>
      <c r="H677">
        <v>-7</v>
      </c>
      <c r="I677">
        <v>-13</v>
      </c>
      <c r="J677" t="s">
        <v>3747</v>
      </c>
    </row>
    <row r="678" spans="1:10" x14ac:dyDescent="0.2">
      <c r="A678" t="s">
        <v>1303</v>
      </c>
      <c r="B678">
        <v>3369</v>
      </c>
      <c r="C678">
        <v>44</v>
      </c>
      <c r="D678">
        <v>6</v>
      </c>
      <c r="E678">
        <v>89</v>
      </c>
      <c r="F678">
        <v>61</v>
      </c>
      <c r="G678">
        <v>-35</v>
      </c>
      <c r="H678">
        <v>-28</v>
      </c>
      <c r="I678">
        <v>-22</v>
      </c>
      <c r="J678" t="s">
        <v>831</v>
      </c>
    </row>
    <row r="679" spans="1:10" x14ac:dyDescent="0.2">
      <c r="A679" t="s">
        <v>1304</v>
      </c>
      <c r="B679">
        <v>3453</v>
      </c>
      <c r="C679">
        <v>44</v>
      </c>
      <c r="D679">
        <v>4</v>
      </c>
      <c r="E679">
        <v>87</v>
      </c>
      <c r="F679">
        <v>60</v>
      </c>
      <c r="G679">
        <v>-36</v>
      </c>
      <c r="H679">
        <v>-29</v>
      </c>
      <c r="I679">
        <v>-23</v>
      </c>
      <c r="J679" t="s">
        <v>831</v>
      </c>
    </row>
    <row r="680" spans="1:10" x14ac:dyDescent="0.2">
      <c r="A680" t="s">
        <v>1305</v>
      </c>
      <c r="B680">
        <v>246</v>
      </c>
      <c r="C680">
        <v>44</v>
      </c>
      <c r="D680">
        <v>22</v>
      </c>
      <c r="E680">
        <v>89</v>
      </c>
      <c r="F680">
        <v>66</v>
      </c>
      <c r="G680">
        <v>-12</v>
      </c>
      <c r="H680">
        <v>-5</v>
      </c>
      <c r="I680">
        <v>1</v>
      </c>
      <c r="J680" t="s">
        <v>831</v>
      </c>
    </row>
    <row r="681" spans="1:10" x14ac:dyDescent="0.2">
      <c r="A681" t="s">
        <v>1306</v>
      </c>
      <c r="B681">
        <v>359</v>
      </c>
      <c r="C681">
        <v>44</v>
      </c>
      <c r="D681">
        <v>26</v>
      </c>
      <c r="E681">
        <v>87</v>
      </c>
      <c r="F681">
        <v>65</v>
      </c>
      <c r="G681">
        <v>-14</v>
      </c>
      <c r="H681">
        <v>-7</v>
      </c>
      <c r="I681">
        <v>-1</v>
      </c>
      <c r="J681" t="s">
        <v>831</v>
      </c>
    </row>
    <row r="682" spans="1:10" x14ac:dyDescent="0.2">
      <c r="A682" t="s">
        <v>1307</v>
      </c>
      <c r="B682">
        <v>925</v>
      </c>
      <c r="C682">
        <v>42</v>
      </c>
      <c r="D682">
        <v>24</v>
      </c>
      <c r="E682">
        <v>96</v>
      </c>
      <c r="F682">
        <v>68</v>
      </c>
      <c r="G682">
        <v>-12</v>
      </c>
      <c r="H682">
        <v>-5</v>
      </c>
      <c r="I682">
        <v>1</v>
      </c>
      <c r="J682" t="s">
        <v>831</v>
      </c>
    </row>
    <row r="683" spans="1:10" x14ac:dyDescent="0.2">
      <c r="A683" t="s">
        <v>1308</v>
      </c>
      <c r="B683">
        <v>203</v>
      </c>
      <c r="C683">
        <v>45</v>
      </c>
      <c r="D683">
        <v>24</v>
      </c>
      <c r="E683">
        <v>88</v>
      </c>
      <c r="F683">
        <v>67</v>
      </c>
      <c r="G683">
        <v>-5</v>
      </c>
      <c r="H683">
        <v>2</v>
      </c>
      <c r="I683">
        <v>8</v>
      </c>
      <c r="J683" t="s">
        <v>831</v>
      </c>
    </row>
    <row r="684" spans="1:10" x14ac:dyDescent="0.2">
      <c r="A684" t="s">
        <v>1309</v>
      </c>
      <c r="B684">
        <v>4092</v>
      </c>
      <c r="C684">
        <v>42</v>
      </c>
      <c r="D684">
        <v>10</v>
      </c>
      <c r="E684">
        <v>87</v>
      </c>
      <c r="F684">
        <v>62</v>
      </c>
      <c r="G684">
        <v>-26</v>
      </c>
      <c r="H684">
        <v>-19</v>
      </c>
      <c r="I684">
        <v>-13</v>
      </c>
      <c r="J684" t="s">
        <v>831</v>
      </c>
    </row>
    <row r="685" spans="1:10" x14ac:dyDescent="0.2">
      <c r="A685" t="s">
        <v>1310</v>
      </c>
      <c r="B685">
        <v>4055</v>
      </c>
      <c r="C685">
        <v>45</v>
      </c>
      <c r="D685">
        <v>0</v>
      </c>
      <c r="E685">
        <v>84</v>
      </c>
      <c r="F685">
        <v>58</v>
      </c>
      <c r="G685">
        <v>-41</v>
      </c>
      <c r="H685">
        <v>-34</v>
      </c>
      <c r="I685">
        <v>-28</v>
      </c>
      <c r="J685" t="s">
        <v>831</v>
      </c>
    </row>
    <row r="686" spans="1:10" x14ac:dyDescent="0.2">
      <c r="A686" t="s">
        <v>1311</v>
      </c>
      <c r="B686">
        <v>1298</v>
      </c>
      <c r="C686">
        <v>42</v>
      </c>
      <c r="D686">
        <v>24</v>
      </c>
      <c r="E686">
        <v>95</v>
      </c>
      <c r="F686">
        <v>66</v>
      </c>
      <c r="G686">
        <v>-21</v>
      </c>
      <c r="H686">
        <v>-14</v>
      </c>
      <c r="I686">
        <v>-8</v>
      </c>
      <c r="J686" t="s">
        <v>831</v>
      </c>
    </row>
    <row r="687" spans="1:10" x14ac:dyDescent="0.2">
      <c r="A687" t="s">
        <v>1312</v>
      </c>
      <c r="B687">
        <v>748</v>
      </c>
      <c r="C687">
        <v>43</v>
      </c>
      <c r="D687">
        <v>32</v>
      </c>
      <c r="E687">
        <v>69</v>
      </c>
      <c r="F687">
        <v>60</v>
      </c>
      <c r="G687">
        <v>-8</v>
      </c>
      <c r="H687">
        <v>-1</v>
      </c>
      <c r="I687">
        <v>5</v>
      </c>
      <c r="J687" t="s">
        <v>3747</v>
      </c>
    </row>
    <row r="688" spans="1:10" x14ac:dyDescent="0.2">
      <c r="A688" t="s">
        <v>1313</v>
      </c>
      <c r="B688">
        <v>1482</v>
      </c>
      <c r="C688">
        <v>45</v>
      </c>
      <c r="D688">
        <v>11</v>
      </c>
      <c r="E688">
        <v>93</v>
      </c>
      <c r="F688">
        <v>63</v>
      </c>
      <c r="G688">
        <v>-33</v>
      </c>
      <c r="H688">
        <v>-26</v>
      </c>
      <c r="I688">
        <v>-20</v>
      </c>
      <c r="J688" t="s">
        <v>831</v>
      </c>
    </row>
    <row r="689" spans="1:10" x14ac:dyDescent="0.2">
      <c r="A689" t="s">
        <v>1314</v>
      </c>
      <c r="B689">
        <v>30</v>
      </c>
      <c r="C689">
        <v>45</v>
      </c>
      <c r="D689">
        <v>27</v>
      </c>
      <c r="E689">
        <v>86</v>
      </c>
      <c r="F689">
        <v>66</v>
      </c>
      <c r="G689">
        <v>-7</v>
      </c>
      <c r="H689">
        <v>0</v>
      </c>
      <c r="I689">
        <v>6</v>
      </c>
      <c r="J689" t="s">
        <v>3747</v>
      </c>
    </row>
    <row r="690" spans="1:10" x14ac:dyDescent="0.2">
      <c r="A690" t="s">
        <v>1315</v>
      </c>
      <c r="B690">
        <v>35</v>
      </c>
      <c r="C690">
        <v>45</v>
      </c>
      <c r="D690">
        <v>24</v>
      </c>
      <c r="E690">
        <v>86</v>
      </c>
      <c r="F690">
        <v>67</v>
      </c>
      <c r="G690">
        <v>-2</v>
      </c>
      <c r="H690">
        <v>5</v>
      </c>
      <c r="I690">
        <v>11</v>
      </c>
      <c r="J690" t="s">
        <v>3747</v>
      </c>
    </row>
    <row r="691" spans="1:10" x14ac:dyDescent="0.2">
      <c r="A691" t="s">
        <v>1316</v>
      </c>
      <c r="B691">
        <v>3084</v>
      </c>
      <c r="C691">
        <v>44</v>
      </c>
      <c r="D691">
        <v>9</v>
      </c>
      <c r="E691">
        <v>89</v>
      </c>
      <c r="F691">
        <v>61</v>
      </c>
      <c r="G691">
        <v>-35</v>
      </c>
      <c r="H691">
        <v>-28</v>
      </c>
      <c r="I691">
        <v>-22</v>
      </c>
      <c r="J691" t="s">
        <v>831</v>
      </c>
    </row>
    <row r="692" spans="1:10" x14ac:dyDescent="0.2">
      <c r="A692" t="s">
        <v>1317</v>
      </c>
      <c r="B692">
        <v>525</v>
      </c>
      <c r="C692">
        <v>43</v>
      </c>
      <c r="D692">
        <v>23</v>
      </c>
      <c r="E692">
        <v>90</v>
      </c>
      <c r="F692">
        <v>66</v>
      </c>
      <c r="G692">
        <v>-13</v>
      </c>
      <c r="H692">
        <v>-6</v>
      </c>
      <c r="I692">
        <v>0</v>
      </c>
      <c r="J692" t="s">
        <v>831</v>
      </c>
    </row>
    <row r="693" spans="1:10" x14ac:dyDescent="0.2">
      <c r="A693" t="s">
        <v>1318</v>
      </c>
      <c r="B693">
        <v>196</v>
      </c>
      <c r="C693">
        <v>45</v>
      </c>
      <c r="D693">
        <v>25</v>
      </c>
      <c r="E693">
        <v>87</v>
      </c>
      <c r="F693">
        <v>66</v>
      </c>
      <c r="G693">
        <v>-8</v>
      </c>
      <c r="H693">
        <v>-1</v>
      </c>
      <c r="I693">
        <v>5</v>
      </c>
      <c r="J693" t="s">
        <v>831</v>
      </c>
    </row>
    <row r="694" spans="1:10" x14ac:dyDescent="0.2">
      <c r="A694" t="s">
        <v>1319</v>
      </c>
      <c r="B694">
        <v>3842</v>
      </c>
      <c r="C694">
        <v>42</v>
      </c>
      <c r="D694">
        <v>24</v>
      </c>
      <c r="E694">
        <v>80</v>
      </c>
      <c r="F694">
        <v>59</v>
      </c>
      <c r="G694">
        <v>-30</v>
      </c>
      <c r="H694">
        <v>-23</v>
      </c>
      <c r="I694">
        <v>-17</v>
      </c>
      <c r="J694" t="s">
        <v>3747</v>
      </c>
    </row>
    <row r="695" spans="1:10" x14ac:dyDescent="0.2">
      <c r="A695" t="s">
        <v>1320</v>
      </c>
      <c r="B695">
        <v>243</v>
      </c>
      <c r="C695">
        <v>45</v>
      </c>
      <c r="D695">
        <v>19</v>
      </c>
      <c r="E695">
        <v>89</v>
      </c>
      <c r="F695">
        <v>68</v>
      </c>
      <c r="G695">
        <v>-1</v>
      </c>
      <c r="H695">
        <v>6</v>
      </c>
      <c r="I695">
        <v>12</v>
      </c>
      <c r="J695" t="s">
        <v>831</v>
      </c>
    </row>
    <row r="696" spans="1:10" x14ac:dyDescent="0.2">
      <c r="A696" t="s">
        <v>1321</v>
      </c>
      <c r="B696">
        <v>387</v>
      </c>
      <c r="C696">
        <v>40</v>
      </c>
      <c r="D696">
        <v>10</v>
      </c>
      <c r="E696">
        <v>88</v>
      </c>
      <c r="F696">
        <v>72</v>
      </c>
      <c r="G696">
        <v>23</v>
      </c>
      <c r="H696">
        <v>30</v>
      </c>
      <c r="I696">
        <v>36</v>
      </c>
      <c r="J696" t="s">
        <v>3747</v>
      </c>
    </row>
    <row r="697" spans="1:10" x14ac:dyDescent="0.2">
      <c r="A697" t="s">
        <v>1322</v>
      </c>
      <c r="B697">
        <v>1504</v>
      </c>
      <c r="C697">
        <v>40</v>
      </c>
      <c r="D697">
        <v>10</v>
      </c>
      <c r="E697">
        <v>86</v>
      </c>
      <c r="F697">
        <v>70</v>
      </c>
      <c r="G697">
        <v>14</v>
      </c>
      <c r="H697">
        <v>21</v>
      </c>
      <c r="I697">
        <v>27</v>
      </c>
      <c r="J697" t="s">
        <v>3747</v>
      </c>
    </row>
    <row r="698" spans="1:10" x14ac:dyDescent="0.2">
      <c r="A698" t="s">
        <v>1323</v>
      </c>
      <c r="B698">
        <v>2142</v>
      </c>
      <c r="C698">
        <v>41</v>
      </c>
      <c r="D698">
        <v>-1</v>
      </c>
      <c r="E698">
        <v>80</v>
      </c>
      <c r="F698">
        <v>68</v>
      </c>
      <c r="G698">
        <v>13</v>
      </c>
      <c r="H698">
        <v>20</v>
      </c>
      <c r="I698">
        <v>26</v>
      </c>
      <c r="J698" t="s">
        <v>3747</v>
      </c>
    </row>
    <row r="699" spans="1:10" x14ac:dyDescent="0.2">
      <c r="A699" t="s">
        <v>1324</v>
      </c>
      <c r="B699">
        <v>1248</v>
      </c>
      <c r="C699">
        <v>40</v>
      </c>
      <c r="D699">
        <v>6</v>
      </c>
      <c r="E699">
        <v>87</v>
      </c>
      <c r="F699">
        <v>72</v>
      </c>
      <c r="G699">
        <v>24</v>
      </c>
      <c r="H699">
        <v>31</v>
      </c>
      <c r="I699">
        <v>37</v>
      </c>
      <c r="J699" t="s">
        <v>3747</v>
      </c>
    </row>
    <row r="700" spans="1:10" x14ac:dyDescent="0.2">
      <c r="A700" t="s">
        <v>1325</v>
      </c>
      <c r="B700">
        <v>697</v>
      </c>
      <c r="C700">
        <v>40</v>
      </c>
      <c r="D700">
        <v>8</v>
      </c>
      <c r="E700">
        <v>90</v>
      </c>
      <c r="F700">
        <v>74</v>
      </c>
      <c r="G700">
        <v>31</v>
      </c>
      <c r="H700">
        <v>38</v>
      </c>
      <c r="I700">
        <v>44</v>
      </c>
      <c r="J700" t="s">
        <v>3747</v>
      </c>
    </row>
    <row r="701" spans="1:10" x14ac:dyDescent="0.2">
      <c r="A701" t="s">
        <v>1326</v>
      </c>
      <c r="B701">
        <v>1818</v>
      </c>
      <c r="C701">
        <v>41</v>
      </c>
      <c r="D701">
        <v>5</v>
      </c>
      <c r="E701">
        <v>84</v>
      </c>
      <c r="F701">
        <v>69</v>
      </c>
      <c r="G701">
        <v>12</v>
      </c>
      <c r="H701">
        <v>19</v>
      </c>
      <c r="I701">
        <v>25</v>
      </c>
      <c r="J701" t="s">
        <v>3747</v>
      </c>
    </row>
    <row r="702" spans="1:10" x14ac:dyDescent="0.2">
      <c r="A702" t="s">
        <v>1327</v>
      </c>
      <c r="B702">
        <v>731</v>
      </c>
      <c r="C702">
        <v>42</v>
      </c>
      <c r="D702">
        <v>7</v>
      </c>
      <c r="E702">
        <v>83</v>
      </c>
      <c r="F702">
        <v>70</v>
      </c>
      <c r="G702">
        <v>19</v>
      </c>
      <c r="H702">
        <v>26</v>
      </c>
      <c r="I702">
        <v>32</v>
      </c>
      <c r="J702" t="s">
        <v>3747</v>
      </c>
    </row>
    <row r="703" spans="1:10" x14ac:dyDescent="0.2">
      <c r="A703" t="s">
        <v>1328</v>
      </c>
      <c r="B703">
        <v>308</v>
      </c>
      <c r="C703">
        <v>40</v>
      </c>
      <c r="D703">
        <v>13</v>
      </c>
      <c r="E703">
        <v>89</v>
      </c>
      <c r="F703">
        <v>73</v>
      </c>
      <c r="G703">
        <v>27</v>
      </c>
      <c r="H703">
        <v>34</v>
      </c>
      <c r="I703">
        <v>40</v>
      </c>
      <c r="J703" t="s">
        <v>3747</v>
      </c>
    </row>
    <row r="704" spans="1:10" x14ac:dyDescent="0.2">
      <c r="A704" t="s">
        <v>1329</v>
      </c>
      <c r="B704">
        <v>2284</v>
      </c>
      <c r="C704">
        <v>40</v>
      </c>
      <c r="D704">
        <v>2</v>
      </c>
      <c r="E704">
        <v>83</v>
      </c>
      <c r="F704">
        <v>70</v>
      </c>
      <c r="G704">
        <v>19</v>
      </c>
      <c r="H704">
        <v>26</v>
      </c>
      <c r="I704">
        <v>32</v>
      </c>
      <c r="J704" t="s">
        <v>3747</v>
      </c>
    </row>
    <row r="705" spans="1:10" x14ac:dyDescent="0.2">
      <c r="A705" t="s">
        <v>1330</v>
      </c>
      <c r="B705">
        <v>403</v>
      </c>
      <c r="C705">
        <v>40</v>
      </c>
      <c r="D705">
        <v>8</v>
      </c>
      <c r="E705">
        <v>90</v>
      </c>
      <c r="F705">
        <v>74</v>
      </c>
      <c r="G705">
        <v>31</v>
      </c>
      <c r="H705">
        <v>38</v>
      </c>
      <c r="I705">
        <v>44</v>
      </c>
      <c r="J705" t="s">
        <v>3747</v>
      </c>
    </row>
    <row r="706" spans="1:10" x14ac:dyDescent="0.2">
      <c r="A706" t="s">
        <v>1331</v>
      </c>
      <c r="B706">
        <v>1400</v>
      </c>
      <c r="C706">
        <v>41</v>
      </c>
      <c r="D706">
        <v>4</v>
      </c>
      <c r="E706">
        <v>85</v>
      </c>
      <c r="F706">
        <v>70</v>
      </c>
      <c r="G706">
        <v>16</v>
      </c>
      <c r="H706">
        <v>23</v>
      </c>
      <c r="I706">
        <v>29</v>
      </c>
      <c r="J706" t="s">
        <v>3747</v>
      </c>
    </row>
    <row r="707" spans="1:10" x14ac:dyDescent="0.2">
      <c r="A707" t="s">
        <v>1332</v>
      </c>
      <c r="B707">
        <v>825</v>
      </c>
      <c r="C707">
        <v>41</v>
      </c>
      <c r="D707">
        <v>7</v>
      </c>
      <c r="E707">
        <v>88</v>
      </c>
      <c r="F707">
        <v>72</v>
      </c>
      <c r="G707">
        <v>23</v>
      </c>
      <c r="H707">
        <v>30</v>
      </c>
      <c r="I707">
        <v>36</v>
      </c>
      <c r="J707" t="s">
        <v>3747</v>
      </c>
    </row>
    <row r="708" spans="1:10" x14ac:dyDescent="0.2">
      <c r="A708" t="s">
        <v>1333</v>
      </c>
      <c r="B708">
        <v>5</v>
      </c>
      <c r="C708">
        <v>39</v>
      </c>
      <c r="D708">
        <v>15</v>
      </c>
      <c r="E708">
        <v>89</v>
      </c>
      <c r="F708">
        <v>74</v>
      </c>
      <c r="G708">
        <v>33</v>
      </c>
      <c r="H708">
        <v>40</v>
      </c>
      <c r="I708">
        <v>46</v>
      </c>
      <c r="J708" t="s">
        <v>3747</v>
      </c>
    </row>
    <row r="709" spans="1:10" x14ac:dyDescent="0.2">
      <c r="A709" t="s">
        <v>1334</v>
      </c>
      <c r="B709">
        <v>121</v>
      </c>
      <c r="C709">
        <v>40</v>
      </c>
      <c r="D709">
        <v>15</v>
      </c>
      <c r="E709">
        <v>90</v>
      </c>
      <c r="F709">
        <v>74</v>
      </c>
      <c r="G709">
        <v>31</v>
      </c>
      <c r="H709">
        <v>38</v>
      </c>
      <c r="I709">
        <v>44</v>
      </c>
      <c r="J709" t="s">
        <v>3747</v>
      </c>
    </row>
    <row r="710" spans="1:10" x14ac:dyDescent="0.2">
      <c r="A710" t="s">
        <v>1335</v>
      </c>
      <c r="B710">
        <v>361</v>
      </c>
      <c r="C710">
        <v>40</v>
      </c>
      <c r="D710">
        <v>14</v>
      </c>
      <c r="E710">
        <v>90</v>
      </c>
      <c r="F710">
        <v>74</v>
      </c>
      <c r="G710">
        <v>31</v>
      </c>
      <c r="H710">
        <v>38</v>
      </c>
      <c r="I710">
        <v>44</v>
      </c>
      <c r="J710" t="s">
        <v>3747</v>
      </c>
    </row>
    <row r="711" spans="1:10" x14ac:dyDescent="0.2">
      <c r="A711" t="s">
        <v>1336</v>
      </c>
      <c r="B711">
        <v>1137</v>
      </c>
      <c r="C711">
        <v>40</v>
      </c>
      <c r="D711">
        <v>7</v>
      </c>
      <c r="E711">
        <v>86</v>
      </c>
      <c r="F711">
        <v>70</v>
      </c>
      <c r="G711">
        <v>14</v>
      </c>
      <c r="H711">
        <v>21</v>
      </c>
      <c r="I711">
        <v>27</v>
      </c>
      <c r="J711" t="s">
        <v>3747</v>
      </c>
    </row>
    <row r="712" spans="1:10" x14ac:dyDescent="0.2">
      <c r="A712" t="s">
        <v>1337</v>
      </c>
      <c r="B712">
        <v>1353</v>
      </c>
      <c r="C712">
        <v>40</v>
      </c>
      <c r="D712">
        <v>7</v>
      </c>
      <c r="E712">
        <v>88</v>
      </c>
      <c r="F712">
        <v>71</v>
      </c>
      <c r="G712">
        <v>17</v>
      </c>
      <c r="H712">
        <v>24</v>
      </c>
      <c r="I712">
        <v>30</v>
      </c>
      <c r="J712" t="s">
        <v>3747</v>
      </c>
    </row>
    <row r="713" spans="1:10" x14ac:dyDescent="0.2">
      <c r="A713" t="s">
        <v>1338</v>
      </c>
      <c r="B713">
        <v>266</v>
      </c>
      <c r="C713">
        <v>40</v>
      </c>
      <c r="D713">
        <v>13</v>
      </c>
      <c r="E713">
        <v>89</v>
      </c>
      <c r="F713">
        <v>72</v>
      </c>
      <c r="G713">
        <v>210</v>
      </c>
      <c r="H713">
        <v>28</v>
      </c>
      <c r="I713">
        <v>34</v>
      </c>
      <c r="J713" t="s">
        <v>3747</v>
      </c>
    </row>
    <row r="714" spans="1:10" x14ac:dyDescent="0.2">
      <c r="A714" t="s">
        <v>1339</v>
      </c>
      <c r="B714">
        <v>930</v>
      </c>
      <c r="C714">
        <v>41</v>
      </c>
      <c r="D714">
        <v>7</v>
      </c>
      <c r="E714">
        <v>85</v>
      </c>
      <c r="F714">
        <v>70</v>
      </c>
      <c r="G714">
        <v>16</v>
      </c>
      <c r="H714">
        <v>20</v>
      </c>
      <c r="I714">
        <v>26</v>
      </c>
      <c r="J714" t="s">
        <v>3747</v>
      </c>
    </row>
    <row r="715" spans="1:10" x14ac:dyDescent="0.2">
      <c r="A715" t="s">
        <v>1340</v>
      </c>
      <c r="B715">
        <v>1239</v>
      </c>
      <c r="C715">
        <v>40</v>
      </c>
      <c r="D715">
        <v>7</v>
      </c>
      <c r="E715">
        <v>87</v>
      </c>
      <c r="F715">
        <v>71</v>
      </c>
      <c r="G715">
        <v>19</v>
      </c>
      <c r="H715">
        <v>26</v>
      </c>
      <c r="I715">
        <v>32</v>
      </c>
      <c r="J715" t="s">
        <v>3747</v>
      </c>
    </row>
    <row r="716" spans="1:10" x14ac:dyDescent="0.2">
      <c r="A716" t="s">
        <v>1341</v>
      </c>
      <c r="B716">
        <v>430</v>
      </c>
      <c r="C716">
        <v>40</v>
      </c>
      <c r="D716">
        <v>7</v>
      </c>
      <c r="E716">
        <v>89</v>
      </c>
      <c r="F716">
        <v>72</v>
      </c>
      <c r="G716">
        <v>21</v>
      </c>
      <c r="H716">
        <v>28</v>
      </c>
      <c r="I716">
        <v>34</v>
      </c>
      <c r="J716" t="s">
        <v>3747</v>
      </c>
    </row>
    <row r="717" spans="1:10" x14ac:dyDescent="0.2">
      <c r="A717" t="s">
        <v>1342</v>
      </c>
      <c r="B717">
        <v>815</v>
      </c>
      <c r="C717">
        <v>39</v>
      </c>
      <c r="D717">
        <v>9</v>
      </c>
      <c r="E717">
        <v>88</v>
      </c>
      <c r="F717">
        <v>73</v>
      </c>
      <c r="G717">
        <v>29</v>
      </c>
      <c r="H717">
        <v>36</v>
      </c>
      <c r="I717">
        <v>42</v>
      </c>
      <c r="J717" t="s">
        <v>3747</v>
      </c>
    </row>
    <row r="718" spans="1:10" x14ac:dyDescent="0.2">
      <c r="A718" t="s">
        <v>1343</v>
      </c>
      <c r="B718">
        <v>1193</v>
      </c>
      <c r="C718">
        <v>41</v>
      </c>
      <c r="D718">
        <v>4</v>
      </c>
      <c r="E718">
        <v>86</v>
      </c>
      <c r="F718">
        <v>71</v>
      </c>
      <c r="G718">
        <v>20</v>
      </c>
      <c r="H718">
        <v>27</v>
      </c>
      <c r="I718">
        <v>33</v>
      </c>
      <c r="J718" t="s">
        <v>3747</v>
      </c>
    </row>
    <row r="719" spans="1:10" x14ac:dyDescent="0.2">
      <c r="A719" t="s">
        <v>1344</v>
      </c>
      <c r="B719">
        <v>466</v>
      </c>
      <c r="C719">
        <v>40</v>
      </c>
      <c r="D719">
        <v>13</v>
      </c>
      <c r="E719">
        <v>89</v>
      </c>
      <c r="F719">
        <v>74</v>
      </c>
      <c r="G719">
        <v>33</v>
      </c>
      <c r="H719">
        <v>40</v>
      </c>
      <c r="I719">
        <v>46</v>
      </c>
      <c r="J719" t="s">
        <v>3747</v>
      </c>
    </row>
    <row r="720" spans="1:10" x14ac:dyDescent="0.2">
      <c r="A720" t="s">
        <v>1345</v>
      </c>
      <c r="B720">
        <v>524</v>
      </c>
      <c r="C720">
        <v>41</v>
      </c>
      <c r="D720">
        <v>7</v>
      </c>
      <c r="E720">
        <v>87</v>
      </c>
      <c r="F720">
        <v>71</v>
      </c>
      <c r="G720">
        <v>19</v>
      </c>
      <c r="H720">
        <v>26</v>
      </c>
      <c r="I720">
        <v>32</v>
      </c>
      <c r="J720" t="s">
        <v>3747</v>
      </c>
    </row>
    <row r="721" spans="1:10" x14ac:dyDescent="0.2">
      <c r="A721" t="s">
        <v>1346</v>
      </c>
      <c r="B721">
        <v>480</v>
      </c>
      <c r="C721">
        <v>40</v>
      </c>
      <c r="D721">
        <v>12</v>
      </c>
      <c r="E721">
        <v>91</v>
      </c>
      <c r="F721">
        <v>74</v>
      </c>
      <c r="G721">
        <v>30</v>
      </c>
      <c r="H721">
        <v>37</v>
      </c>
      <c r="I721">
        <v>43</v>
      </c>
      <c r="J721" t="s">
        <v>3747</v>
      </c>
    </row>
    <row r="722" spans="1:10" x14ac:dyDescent="0.2">
      <c r="A722" t="s">
        <v>1347</v>
      </c>
      <c r="B722">
        <v>10</v>
      </c>
      <c r="C722">
        <v>41</v>
      </c>
      <c r="D722">
        <v>9</v>
      </c>
      <c r="E722">
        <v>85</v>
      </c>
      <c r="F722">
        <v>72</v>
      </c>
      <c r="G722">
        <v>28</v>
      </c>
      <c r="H722">
        <v>35</v>
      </c>
      <c r="I722">
        <v>41</v>
      </c>
      <c r="J722" t="s">
        <v>3747</v>
      </c>
    </row>
    <row r="723" spans="1:10" x14ac:dyDescent="0.2">
      <c r="A723" t="s">
        <v>1348</v>
      </c>
      <c r="B723">
        <v>51</v>
      </c>
      <c r="C723">
        <v>41</v>
      </c>
      <c r="D723">
        <v>10</v>
      </c>
      <c r="E723">
        <v>86</v>
      </c>
      <c r="F723">
        <v>71</v>
      </c>
      <c r="G723">
        <v>20</v>
      </c>
      <c r="H723">
        <v>27</v>
      </c>
      <c r="I723">
        <v>33</v>
      </c>
      <c r="J723" t="s">
        <v>3747</v>
      </c>
    </row>
    <row r="724" spans="1:10" x14ac:dyDescent="0.2">
      <c r="A724" t="s">
        <v>1349</v>
      </c>
      <c r="B724">
        <v>782</v>
      </c>
      <c r="C724">
        <v>34</v>
      </c>
      <c r="D724">
        <v>23</v>
      </c>
      <c r="E724">
        <v>92</v>
      </c>
      <c r="F724">
        <v>74</v>
      </c>
      <c r="G724">
        <v>28</v>
      </c>
      <c r="H724">
        <v>35</v>
      </c>
      <c r="I724">
        <v>41</v>
      </c>
      <c r="J724" t="s">
        <v>3747</v>
      </c>
    </row>
    <row r="725" spans="1:10" x14ac:dyDescent="0.2">
      <c r="A725" t="s">
        <v>1350</v>
      </c>
      <c r="B725">
        <v>38</v>
      </c>
      <c r="C725">
        <v>32</v>
      </c>
      <c r="D725">
        <v>31</v>
      </c>
      <c r="E725">
        <v>93</v>
      </c>
      <c r="F725">
        <v>78</v>
      </c>
      <c r="G725">
        <v>52</v>
      </c>
      <c r="H725">
        <v>59</v>
      </c>
      <c r="I725">
        <v>65</v>
      </c>
      <c r="J725" t="s">
        <v>3747</v>
      </c>
    </row>
    <row r="726" spans="1:10" x14ac:dyDescent="0.2">
      <c r="A726" t="s">
        <v>1351</v>
      </c>
      <c r="B726">
        <v>45</v>
      </c>
      <c r="C726">
        <v>32</v>
      </c>
      <c r="D726">
        <v>28</v>
      </c>
      <c r="E726">
        <v>92</v>
      </c>
      <c r="F726">
        <v>77</v>
      </c>
      <c r="G726">
        <v>47</v>
      </c>
      <c r="H726">
        <v>54</v>
      </c>
      <c r="I726">
        <v>60</v>
      </c>
      <c r="J726" t="s">
        <v>3747</v>
      </c>
    </row>
    <row r="727" spans="1:10" x14ac:dyDescent="0.2">
      <c r="A727" t="s">
        <v>1352</v>
      </c>
      <c r="B727">
        <v>3</v>
      </c>
      <c r="C727">
        <v>32</v>
      </c>
      <c r="D727">
        <v>28</v>
      </c>
      <c r="E727">
        <v>92</v>
      </c>
      <c r="F727">
        <v>78</v>
      </c>
      <c r="G727">
        <v>54</v>
      </c>
      <c r="H727">
        <v>61</v>
      </c>
      <c r="I727">
        <v>67</v>
      </c>
      <c r="J727" t="s">
        <v>1527</v>
      </c>
    </row>
    <row r="728" spans="1:10" x14ac:dyDescent="0.2">
      <c r="A728" t="s">
        <v>1353</v>
      </c>
      <c r="B728">
        <v>213</v>
      </c>
      <c r="C728">
        <v>34</v>
      </c>
      <c r="D728">
        <v>24</v>
      </c>
      <c r="E728">
        <v>94</v>
      </c>
      <c r="F728">
        <v>75</v>
      </c>
      <c r="G728">
        <v>31</v>
      </c>
      <c r="H728">
        <v>38</v>
      </c>
      <c r="I728">
        <v>44</v>
      </c>
      <c r="J728" t="s">
        <v>3747</v>
      </c>
    </row>
    <row r="729" spans="1:10" x14ac:dyDescent="0.2">
      <c r="A729" t="s">
        <v>1354</v>
      </c>
      <c r="B729">
        <v>147</v>
      </c>
      <c r="C729">
        <v>34</v>
      </c>
      <c r="D729">
        <v>27</v>
      </c>
      <c r="E729">
        <v>94</v>
      </c>
      <c r="F729">
        <v>76</v>
      </c>
      <c r="G729">
        <v>37</v>
      </c>
      <c r="H729">
        <v>44</v>
      </c>
      <c r="I729">
        <v>50</v>
      </c>
      <c r="J729" t="s">
        <v>3747</v>
      </c>
    </row>
    <row r="730" spans="1:10" x14ac:dyDescent="0.2">
      <c r="A730" t="s">
        <v>1355</v>
      </c>
      <c r="B730">
        <v>14</v>
      </c>
      <c r="C730">
        <v>33</v>
      </c>
      <c r="D730">
        <v>26</v>
      </c>
      <c r="E730">
        <v>90</v>
      </c>
      <c r="F730">
        <v>78</v>
      </c>
      <c r="G730">
        <v>57</v>
      </c>
      <c r="H730">
        <v>64</v>
      </c>
      <c r="I730">
        <v>70</v>
      </c>
      <c r="J730" t="s">
        <v>3747</v>
      </c>
    </row>
    <row r="731" spans="1:10" x14ac:dyDescent="0.2">
      <c r="A731" t="s">
        <v>1356</v>
      </c>
      <c r="B731">
        <v>957</v>
      </c>
      <c r="C731">
        <v>34</v>
      </c>
      <c r="D731">
        <v>23</v>
      </c>
      <c r="E731">
        <v>91</v>
      </c>
      <c r="F731">
        <v>74</v>
      </c>
      <c r="G731">
        <v>30</v>
      </c>
      <c r="H731">
        <v>37</v>
      </c>
      <c r="I731">
        <v>43</v>
      </c>
      <c r="J731" t="s">
        <v>3747</v>
      </c>
    </row>
    <row r="732" spans="1:10" x14ac:dyDescent="0.2">
      <c r="A732" t="s">
        <v>1357</v>
      </c>
      <c r="B732">
        <v>631</v>
      </c>
      <c r="C732">
        <v>34</v>
      </c>
      <c r="D732">
        <v>22</v>
      </c>
      <c r="E732">
        <v>93</v>
      </c>
      <c r="F732">
        <v>74</v>
      </c>
      <c r="G732">
        <v>27</v>
      </c>
      <c r="H732">
        <v>34</v>
      </c>
      <c r="I732">
        <v>40</v>
      </c>
      <c r="J732" t="s">
        <v>3747</v>
      </c>
    </row>
    <row r="733" spans="1:10" x14ac:dyDescent="0.2">
      <c r="A733" t="s">
        <v>1358</v>
      </c>
      <c r="B733">
        <v>25</v>
      </c>
      <c r="C733">
        <v>33</v>
      </c>
      <c r="D733">
        <v>29</v>
      </c>
      <c r="E733">
        <v>90</v>
      </c>
      <c r="F733">
        <v>78</v>
      </c>
      <c r="G733">
        <v>57</v>
      </c>
      <c r="H733">
        <v>64</v>
      </c>
      <c r="I733">
        <v>70</v>
      </c>
      <c r="J733" t="s">
        <v>3747</v>
      </c>
    </row>
    <row r="734" spans="1:10" x14ac:dyDescent="0.2">
      <c r="A734" t="s">
        <v>1359</v>
      </c>
      <c r="B734">
        <v>197</v>
      </c>
      <c r="C734">
        <v>33</v>
      </c>
      <c r="D734">
        <v>24</v>
      </c>
      <c r="E734">
        <v>95</v>
      </c>
      <c r="F734">
        <v>75</v>
      </c>
      <c r="G734">
        <v>29</v>
      </c>
      <c r="H734">
        <v>36</v>
      </c>
      <c r="I734">
        <v>42</v>
      </c>
      <c r="J734" t="s">
        <v>3747</v>
      </c>
    </row>
    <row r="735" spans="1:10" x14ac:dyDescent="0.2">
      <c r="A735" t="s">
        <v>1360</v>
      </c>
      <c r="B735">
        <v>667</v>
      </c>
      <c r="C735">
        <v>35</v>
      </c>
      <c r="D735">
        <v>23</v>
      </c>
      <c r="E735">
        <v>94</v>
      </c>
      <c r="F735">
        <v>74</v>
      </c>
      <c r="G735">
        <v>25</v>
      </c>
      <c r="H735">
        <v>32</v>
      </c>
      <c r="I735">
        <v>38</v>
      </c>
      <c r="J735" t="s">
        <v>3747</v>
      </c>
    </row>
    <row r="736" spans="1:10" x14ac:dyDescent="0.2">
      <c r="A736" t="s">
        <v>1361</v>
      </c>
      <c r="B736">
        <v>801</v>
      </c>
      <c r="C736">
        <v>35</v>
      </c>
      <c r="D736">
        <v>22</v>
      </c>
      <c r="E736">
        <v>91</v>
      </c>
      <c r="F736">
        <v>74</v>
      </c>
      <c r="G736">
        <v>30</v>
      </c>
      <c r="H736">
        <v>37</v>
      </c>
      <c r="I736">
        <v>43</v>
      </c>
      <c r="J736" t="s">
        <v>3747</v>
      </c>
    </row>
    <row r="737" spans="1:10" x14ac:dyDescent="0.2">
      <c r="A737" t="s">
        <v>1362</v>
      </c>
      <c r="B737">
        <v>252</v>
      </c>
      <c r="C737">
        <v>34</v>
      </c>
      <c r="D737">
        <v>29</v>
      </c>
      <c r="E737">
        <v>93</v>
      </c>
      <c r="F737">
        <v>75</v>
      </c>
      <c r="G737">
        <v>33</v>
      </c>
      <c r="H737">
        <v>40</v>
      </c>
      <c r="I737">
        <v>46</v>
      </c>
      <c r="J737" t="s">
        <v>3747</v>
      </c>
    </row>
    <row r="738" spans="1:10" x14ac:dyDescent="0.2">
      <c r="A738" t="s">
        <v>1363</v>
      </c>
      <c r="B738">
        <v>1296</v>
      </c>
      <c r="C738">
        <v>45</v>
      </c>
      <c r="D738">
        <v>-15</v>
      </c>
      <c r="E738">
        <v>91</v>
      </c>
      <c r="F738">
        <v>72</v>
      </c>
      <c r="G738">
        <v>18</v>
      </c>
      <c r="H738">
        <v>25</v>
      </c>
      <c r="I738">
        <v>31</v>
      </c>
      <c r="J738" t="s">
        <v>831</v>
      </c>
    </row>
    <row r="739" spans="1:10" x14ac:dyDescent="0.2">
      <c r="A739" t="s">
        <v>1364</v>
      </c>
      <c r="B739">
        <v>1647</v>
      </c>
      <c r="C739">
        <v>44</v>
      </c>
      <c r="D739">
        <v>-13</v>
      </c>
      <c r="E739">
        <v>92</v>
      </c>
      <c r="F739">
        <v>72</v>
      </c>
      <c r="G739">
        <v>16</v>
      </c>
      <c r="H739">
        <v>23</v>
      </c>
      <c r="I739">
        <v>29</v>
      </c>
      <c r="J739" t="s">
        <v>3747</v>
      </c>
    </row>
    <row r="740" spans="1:10" x14ac:dyDescent="0.2">
      <c r="A740" t="s">
        <v>1365</v>
      </c>
      <c r="B740">
        <v>1739</v>
      </c>
      <c r="C740">
        <v>43</v>
      </c>
      <c r="D740">
        <v>-7</v>
      </c>
      <c r="E740">
        <v>94</v>
      </c>
      <c r="F740">
        <v>71</v>
      </c>
      <c r="G740">
        <v>7</v>
      </c>
      <c r="H740">
        <v>14</v>
      </c>
      <c r="I740">
        <v>20</v>
      </c>
      <c r="J740" t="s">
        <v>831</v>
      </c>
    </row>
    <row r="741" spans="1:10" x14ac:dyDescent="0.2">
      <c r="A741" t="s">
        <v>1366</v>
      </c>
      <c r="B741">
        <v>1281</v>
      </c>
      <c r="C741">
        <v>44</v>
      </c>
      <c r="D741">
        <v>-12</v>
      </c>
      <c r="E741">
        <v>91</v>
      </c>
      <c r="F741">
        <v>71</v>
      </c>
      <c r="G741">
        <v>12</v>
      </c>
      <c r="H741">
        <v>19</v>
      </c>
      <c r="I741">
        <v>25</v>
      </c>
      <c r="J741" t="s">
        <v>831</v>
      </c>
    </row>
    <row r="742" spans="1:10" x14ac:dyDescent="0.2">
      <c r="A742" t="s">
        <v>1367</v>
      </c>
      <c r="B742">
        <v>1303</v>
      </c>
      <c r="C742">
        <v>43</v>
      </c>
      <c r="D742">
        <v>-10</v>
      </c>
      <c r="E742">
        <v>93</v>
      </c>
      <c r="F742">
        <v>71</v>
      </c>
      <c r="G742">
        <v>9</v>
      </c>
      <c r="H742">
        <v>16</v>
      </c>
      <c r="I742">
        <v>22</v>
      </c>
      <c r="J742" t="s">
        <v>831</v>
      </c>
    </row>
    <row r="743" spans="1:10" x14ac:dyDescent="0.2">
      <c r="A743" t="s">
        <v>1368</v>
      </c>
      <c r="B743">
        <v>1742</v>
      </c>
      <c r="C743">
        <v>44</v>
      </c>
      <c r="D743">
        <v>-9</v>
      </c>
      <c r="E743">
        <v>95</v>
      </c>
      <c r="F743">
        <v>69</v>
      </c>
      <c r="G743">
        <v>-6</v>
      </c>
      <c r="H743">
        <v>1</v>
      </c>
      <c r="I743">
        <v>7</v>
      </c>
      <c r="J743" t="s">
        <v>831</v>
      </c>
    </row>
    <row r="744" spans="1:10" x14ac:dyDescent="0.2">
      <c r="A744" t="s">
        <v>1369</v>
      </c>
      <c r="B744">
        <v>3162</v>
      </c>
      <c r="C744">
        <v>44</v>
      </c>
      <c r="D744">
        <v>-5</v>
      </c>
      <c r="E744">
        <v>91</v>
      </c>
      <c r="F744">
        <v>65</v>
      </c>
      <c r="G744">
        <v>-18</v>
      </c>
      <c r="H744">
        <v>-11</v>
      </c>
      <c r="I744">
        <v>-5</v>
      </c>
      <c r="J744" t="s">
        <v>831</v>
      </c>
    </row>
    <row r="745" spans="1:10" x14ac:dyDescent="0.2">
      <c r="A745" t="s">
        <v>1370</v>
      </c>
      <c r="B745">
        <v>1418</v>
      </c>
      <c r="C745">
        <v>43</v>
      </c>
      <c r="D745">
        <v>-11</v>
      </c>
      <c r="E745">
        <v>90</v>
      </c>
      <c r="F745">
        <v>72</v>
      </c>
      <c r="G745">
        <v>19</v>
      </c>
      <c r="H745">
        <v>26</v>
      </c>
      <c r="I745">
        <v>32</v>
      </c>
      <c r="J745" t="s">
        <v>3747</v>
      </c>
    </row>
    <row r="746" spans="1:10" x14ac:dyDescent="0.2">
      <c r="A746" t="s">
        <v>1371</v>
      </c>
      <c r="B746">
        <v>1748</v>
      </c>
      <c r="C746">
        <v>45</v>
      </c>
      <c r="D746">
        <v>-15</v>
      </c>
      <c r="E746">
        <v>91</v>
      </c>
      <c r="F746">
        <v>72</v>
      </c>
      <c r="G746">
        <v>18</v>
      </c>
      <c r="H746">
        <v>25</v>
      </c>
      <c r="I746">
        <v>31</v>
      </c>
      <c r="J746" t="s">
        <v>831</v>
      </c>
    </row>
    <row r="747" spans="1:10" x14ac:dyDescent="0.2">
      <c r="A747" t="s">
        <v>1372</v>
      </c>
      <c r="B747">
        <v>1305</v>
      </c>
      <c r="C747">
        <v>43</v>
      </c>
      <c r="D747">
        <v>-7</v>
      </c>
      <c r="E747">
        <v>91</v>
      </c>
      <c r="F747">
        <v>72</v>
      </c>
      <c r="G747">
        <v>28</v>
      </c>
      <c r="H747">
        <v>35</v>
      </c>
      <c r="I747">
        <v>41</v>
      </c>
      <c r="J747" t="s">
        <v>3747</v>
      </c>
    </row>
    <row r="748" spans="1:10" x14ac:dyDescent="0.2">
      <c r="A748" t="s">
        <v>1373</v>
      </c>
      <c r="B748">
        <v>858</v>
      </c>
      <c r="C748">
        <v>33</v>
      </c>
      <c r="D748">
        <v>18</v>
      </c>
      <c r="E748">
        <v>92</v>
      </c>
      <c r="F748">
        <v>73</v>
      </c>
      <c r="G748">
        <v>22</v>
      </c>
      <c r="H748">
        <v>29</v>
      </c>
      <c r="I748">
        <v>35</v>
      </c>
      <c r="J748" t="s">
        <v>3747</v>
      </c>
    </row>
    <row r="749" spans="1:10" x14ac:dyDescent="0.2">
      <c r="A749" t="s">
        <v>1374</v>
      </c>
      <c r="B749">
        <v>1507</v>
      </c>
      <c r="C749">
        <v>36</v>
      </c>
      <c r="D749">
        <v>14</v>
      </c>
      <c r="E749">
        <v>87</v>
      </c>
      <c r="F749">
        <v>72</v>
      </c>
      <c r="G749">
        <v>24</v>
      </c>
      <c r="H749">
        <v>31</v>
      </c>
      <c r="I749">
        <v>37</v>
      </c>
      <c r="J749" t="s">
        <v>3747</v>
      </c>
    </row>
    <row r="750" spans="1:10" x14ac:dyDescent="0.2">
      <c r="A750" t="s">
        <v>1375</v>
      </c>
      <c r="B750">
        <v>665</v>
      </c>
      <c r="C750">
        <v>35</v>
      </c>
      <c r="D750">
        <v>20</v>
      </c>
      <c r="E750">
        <v>92</v>
      </c>
      <c r="F750">
        <v>75</v>
      </c>
      <c r="G750">
        <v>34</v>
      </c>
      <c r="H750">
        <v>41</v>
      </c>
      <c r="I750">
        <v>47</v>
      </c>
      <c r="J750" t="s">
        <v>3747</v>
      </c>
    </row>
    <row r="751" spans="1:10" x14ac:dyDescent="0.2">
      <c r="A751" t="s">
        <v>1376</v>
      </c>
      <c r="B751">
        <v>550</v>
      </c>
      <c r="C751">
        <v>36</v>
      </c>
      <c r="D751">
        <v>12</v>
      </c>
      <c r="E751">
        <v>93</v>
      </c>
      <c r="F751">
        <v>74</v>
      </c>
      <c r="G751">
        <v>27</v>
      </c>
      <c r="H751">
        <v>34</v>
      </c>
      <c r="I751">
        <v>40</v>
      </c>
      <c r="J751" t="s">
        <v>3747</v>
      </c>
    </row>
    <row r="752" spans="1:10" x14ac:dyDescent="0.2">
      <c r="A752" t="s">
        <v>1377</v>
      </c>
      <c r="B752">
        <v>681</v>
      </c>
      <c r="C752">
        <v>35</v>
      </c>
      <c r="D752">
        <v>15</v>
      </c>
      <c r="E752">
        <v>94</v>
      </c>
      <c r="F752">
        <v>74</v>
      </c>
      <c r="G752">
        <v>25</v>
      </c>
      <c r="H752">
        <v>32</v>
      </c>
      <c r="I752">
        <v>38</v>
      </c>
      <c r="J752" t="s">
        <v>3747</v>
      </c>
    </row>
    <row r="753" spans="1:10" x14ac:dyDescent="0.2">
      <c r="A753" t="s">
        <v>1378</v>
      </c>
      <c r="B753">
        <v>1880</v>
      </c>
      <c r="C753">
        <v>35</v>
      </c>
      <c r="D753">
        <v>15</v>
      </c>
      <c r="E753">
        <v>87</v>
      </c>
      <c r="F753">
        <v>72</v>
      </c>
      <c r="G753">
        <v>24</v>
      </c>
      <c r="H753">
        <v>31</v>
      </c>
      <c r="I753">
        <v>37</v>
      </c>
      <c r="J753" t="s">
        <v>3747</v>
      </c>
    </row>
    <row r="754" spans="1:10" x14ac:dyDescent="0.2">
      <c r="A754" t="s">
        <v>1379</v>
      </c>
      <c r="B754">
        <v>338</v>
      </c>
      <c r="C754">
        <v>36</v>
      </c>
      <c r="D754">
        <v>15</v>
      </c>
      <c r="E754">
        <v>94</v>
      </c>
      <c r="F754">
        <v>77</v>
      </c>
      <c r="G754">
        <v>44</v>
      </c>
      <c r="H754">
        <v>51</v>
      </c>
      <c r="I754">
        <v>57</v>
      </c>
      <c r="J754" t="s">
        <v>3747</v>
      </c>
    </row>
    <row r="755" spans="1:10" x14ac:dyDescent="0.2">
      <c r="A755" t="s">
        <v>1380</v>
      </c>
      <c r="B755">
        <v>1608</v>
      </c>
      <c r="C755">
        <v>35</v>
      </c>
      <c r="D755">
        <v>16</v>
      </c>
      <c r="E755">
        <v>90</v>
      </c>
      <c r="F755">
        <v>72</v>
      </c>
      <c r="G755">
        <v>19</v>
      </c>
      <c r="H755">
        <v>26</v>
      </c>
      <c r="I755">
        <v>32</v>
      </c>
      <c r="J755" t="s">
        <v>3747</v>
      </c>
    </row>
    <row r="756" spans="1:10" x14ac:dyDescent="0.2">
      <c r="A756" t="s">
        <v>1381</v>
      </c>
      <c r="B756">
        <v>433</v>
      </c>
      <c r="C756">
        <v>35</v>
      </c>
      <c r="D756">
        <v>18</v>
      </c>
      <c r="E756">
        <v>93</v>
      </c>
      <c r="F756">
        <v>76</v>
      </c>
      <c r="G756">
        <v>39</v>
      </c>
      <c r="H756">
        <v>46</v>
      </c>
      <c r="I756">
        <v>52</v>
      </c>
      <c r="J756" t="s">
        <v>3747</v>
      </c>
    </row>
    <row r="757" spans="1:10" x14ac:dyDescent="0.2">
      <c r="A757" t="s">
        <v>1382</v>
      </c>
      <c r="B757">
        <v>980</v>
      </c>
      <c r="C757">
        <v>35</v>
      </c>
      <c r="D757">
        <v>19</v>
      </c>
      <c r="E757">
        <v>90</v>
      </c>
      <c r="F757">
        <v>74</v>
      </c>
      <c r="G757">
        <v>31</v>
      </c>
      <c r="H757">
        <v>38</v>
      </c>
      <c r="I757">
        <v>44</v>
      </c>
      <c r="J757" t="s">
        <v>3747</v>
      </c>
    </row>
    <row r="758" spans="1:10" x14ac:dyDescent="0.2">
      <c r="A758" t="s">
        <v>3995</v>
      </c>
      <c r="B758">
        <v>258</v>
      </c>
      <c r="C758">
        <v>35</v>
      </c>
      <c r="D758">
        <v>21</v>
      </c>
      <c r="E758">
        <v>94</v>
      </c>
      <c r="F758">
        <v>77</v>
      </c>
      <c r="G758">
        <v>44</v>
      </c>
      <c r="H758">
        <v>51</v>
      </c>
      <c r="I758">
        <v>57</v>
      </c>
      <c r="J758" t="s">
        <v>3747</v>
      </c>
    </row>
    <row r="759" spans="1:10" x14ac:dyDescent="0.2">
      <c r="A759" t="s">
        <v>3996</v>
      </c>
      <c r="B759">
        <v>615</v>
      </c>
      <c r="C759">
        <v>35</v>
      </c>
      <c r="D759">
        <v>14</v>
      </c>
      <c r="E759">
        <v>94</v>
      </c>
      <c r="F759">
        <v>74</v>
      </c>
      <c r="G759">
        <v>25</v>
      </c>
      <c r="H759">
        <v>32</v>
      </c>
      <c r="I759">
        <v>38</v>
      </c>
      <c r="J759" t="s">
        <v>3747</v>
      </c>
    </row>
    <row r="760" spans="1:10" x14ac:dyDescent="0.2">
      <c r="A760" t="s">
        <v>3997</v>
      </c>
      <c r="B760">
        <v>590</v>
      </c>
      <c r="C760">
        <v>36</v>
      </c>
      <c r="D760">
        <v>16</v>
      </c>
      <c r="E760">
        <v>92</v>
      </c>
      <c r="F760">
        <v>75</v>
      </c>
      <c r="G760">
        <v>34</v>
      </c>
      <c r="H760">
        <v>41</v>
      </c>
      <c r="I760">
        <v>47</v>
      </c>
      <c r="J760" t="s">
        <v>3747</v>
      </c>
    </row>
    <row r="761" spans="1:10" x14ac:dyDescent="0.2">
      <c r="A761" t="s">
        <v>3998</v>
      </c>
      <c r="B761">
        <v>1072</v>
      </c>
      <c r="C761">
        <v>35</v>
      </c>
      <c r="D761">
        <v>13</v>
      </c>
      <c r="E761">
        <v>93</v>
      </c>
      <c r="F761">
        <v>73</v>
      </c>
      <c r="G761">
        <v>20</v>
      </c>
      <c r="H761">
        <v>27</v>
      </c>
      <c r="I761">
        <v>33</v>
      </c>
      <c r="J761" t="s">
        <v>3747</v>
      </c>
    </row>
    <row r="762" spans="1:10" x14ac:dyDescent="0.2">
      <c r="A762" t="s">
        <v>3999</v>
      </c>
      <c r="B762">
        <v>1790</v>
      </c>
      <c r="C762">
        <v>32</v>
      </c>
      <c r="D762">
        <v>22</v>
      </c>
      <c r="E762">
        <v>97</v>
      </c>
      <c r="F762">
        <v>71</v>
      </c>
      <c r="G762">
        <v>2</v>
      </c>
      <c r="H762">
        <v>9</v>
      </c>
      <c r="I762">
        <v>15</v>
      </c>
      <c r="J762" t="s">
        <v>3747</v>
      </c>
    </row>
    <row r="763" spans="1:10" x14ac:dyDescent="0.2">
      <c r="A763" t="s">
        <v>4000</v>
      </c>
      <c r="B763">
        <v>178</v>
      </c>
      <c r="C763">
        <v>27</v>
      </c>
      <c r="D763">
        <v>34</v>
      </c>
      <c r="E763">
        <v>98</v>
      </c>
      <c r="F763">
        <v>77</v>
      </c>
      <c r="G763">
        <v>37</v>
      </c>
      <c r="H763">
        <v>44</v>
      </c>
      <c r="I763">
        <v>50</v>
      </c>
      <c r="J763" t="s">
        <v>3747</v>
      </c>
    </row>
    <row r="764" spans="1:10" x14ac:dyDescent="0.2">
      <c r="A764" t="s">
        <v>4001</v>
      </c>
      <c r="B764">
        <v>3604</v>
      </c>
      <c r="C764">
        <v>35</v>
      </c>
      <c r="D764">
        <v>12</v>
      </c>
      <c r="E764">
        <v>94</v>
      </c>
      <c r="F764">
        <v>66</v>
      </c>
      <c r="G764">
        <v>-17</v>
      </c>
      <c r="H764">
        <v>-10</v>
      </c>
      <c r="I764">
        <v>-4</v>
      </c>
      <c r="J764" t="s">
        <v>831</v>
      </c>
    </row>
    <row r="765" spans="1:10" x14ac:dyDescent="0.2">
      <c r="A765" t="s">
        <v>4002</v>
      </c>
      <c r="B765">
        <v>597</v>
      </c>
      <c r="C765">
        <v>30</v>
      </c>
      <c r="D765">
        <v>30</v>
      </c>
      <c r="E765">
        <v>96</v>
      </c>
      <c r="F765">
        <v>74</v>
      </c>
      <c r="G765">
        <v>22</v>
      </c>
      <c r="H765">
        <v>29</v>
      </c>
      <c r="I765">
        <v>35</v>
      </c>
      <c r="J765" t="s">
        <v>3747</v>
      </c>
    </row>
    <row r="766" spans="1:10" x14ac:dyDescent="0.2">
      <c r="A766" t="s">
        <v>4003</v>
      </c>
      <c r="B766">
        <v>45</v>
      </c>
      <c r="C766">
        <v>29</v>
      </c>
      <c r="D766">
        <v>33</v>
      </c>
      <c r="E766">
        <v>94</v>
      </c>
      <c r="F766">
        <v>77</v>
      </c>
      <c r="G766">
        <v>59</v>
      </c>
      <c r="H766">
        <v>66</v>
      </c>
      <c r="I766">
        <v>72</v>
      </c>
      <c r="J766" t="s">
        <v>3747</v>
      </c>
    </row>
    <row r="767" spans="1:10" x14ac:dyDescent="0.2">
      <c r="A767" t="s">
        <v>4004</v>
      </c>
      <c r="B767">
        <v>16</v>
      </c>
      <c r="C767">
        <v>30</v>
      </c>
      <c r="D767">
        <v>32</v>
      </c>
      <c r="E767">
        <v>92</v>
      </c>
      <c r="F767">
        <v>79</v>
      </c>
      <c r="G767">
        <v>61</v>
      </c>
      <c r="H767">
        <v>68</v>
      </c>
      <c r="I767">
        <v>74</v>
      </c>
      <c r="J767" t="s">
        <v>3747</v>
      </c>
    </row>
    <row r="768" spans="1:10" x14ac:dyDescent="0.2">
      <c r="A768" t="s">
        <v>4005</v>
      </c>
      <c r="B768">
        <v>190</v>
      </c>
      <c r="C768">
        <v>28</v>
      </c>
      <c r="D768">
        <v>33</v>
      </c>
      <c r="E768">
        <v>98</v>
      </c>
      <c r="F768">
        <v>77</v>
      </c>
      <c r="G768">
        <v>37</v>
      </c>
      <c r="H768">
        <v>44</v>
      </c>
      <c r="I768">
        <v>50</v>
      </c>
      <c r="J768" t="s">
        <v>3747</v>
      </c>
    </row>
    <row r="769" spans="1:10" x14ac:dyDescent="0.2">
      <c r="A769" t="s">
        <v>4006</v>
      </c>
      <c r="B769">
        <v>2561</v>
      </c>
      <c r="C769">
        <v>32</v>
      </c>
      <c r="D769">
        <v>20</v>
      </c>
      <c r="E769">
        <v>97</v>
      </c>
      <c r="F769">
        <v>69</v>
      </c>
      <c r="G769">
        <v>-9</v>
      </c>
      <c r="H769">
        <v>-2</v>
      </c>
      <c r="I769">
        <v>4</v>
      </c>
      <c r="J769" t="s">
        <v>3747</v>
      </c>
    </row>
    <row r="770" spans="1:10" x14ac:dyDescent="0.2">
      <c r="A770" t="s">
        <v>4007</v>
      </c>
      <c r="B770">
        <v>19</v>
      </c>
      <c r="C770">
        <v>25</v>
      </c>
      <c r="D770">
        <v>40</v>
      </c>
      <c r="E770">
        <v>94</v>
      </c>
      <c r="F770">
        <v>77</v>
      </c>
      <c r="G770">
        <v>44</v>
      </c>
      <c r="H770">
        <v>51</v>
      </c>
      <c r="I770">
        <v>57</v>
      </c>
      <c r="J770" t="s">
        <v>831</v>
      </c>
    </row>
    <row r="771" spans="1:10" x14ac:dyDescent="0.2">
      <c r="A771" t="s">
        <v>4008</v>
      </c>
      <c r="B771">
        <v>1386</v>
      </c>
      <c r="C771">
        <v>31</v>
      </c>
      <c r="D771">
        <v>22</v>
      </c>
      <c r="E771">
        <v>99</v>
      </c>
      <c r="F771">
        <v>73</v>
      </c>
      <c r="G771">
        <v>11</v>
      </c>
      <c r="H771">
        <v>18</v>
      </c>
      <c r="I771">
        <v>24</v>
      </c>
      <c r="J771" t="s">
        <v>3747</v>
      </c>
    </row>
    <row r="772" spans="1:10" x14ac:dyDescent="0.2">
      <c r="A772" t="s">
        <v>4009</v>
      </c>
      <c r="B772">
        <v>322</v>
      </c>
      <c r="C772">
        <v>30</v>
      </c>
      <c r="D772">
        <v>29</v>
      </c>
      <c r="E772">
        <v>96</v>
      </c>
      <c r="F772">
        <v>75</v>
      </c>
      <c r="G772">
        <v>28</v>
      </c>
      <c r="H772">
        <v>35</v>
      </c>
      <c r="I772">
        <v>41</v>
      </c>
      <c r="J772" t="s">
        <v>3747</v>
      </c>
    </row>
    <row r="773" spans="1:10" x14ac:dyDescent="0.2">
      <c r="A773" t="s">
        <v>4010</v>
      </c>
      <c r="B773">
        <v>19</v>
      </c>
      <c r="C773">
        <v>27</v>
      </c>
      <c r="D773">
        <v>36</v>
      </c>
      <c r="E773">
        <v>94</v>
      </c>
      <c r="F773">
        <v>78</v>
      </c>
      <c r="G773">
        <v>51</v>
      </c>
      <c r="H773">
        <v>58</v>
      </c>
      <c r="I773">
        <v>64</v>
      </c>
      <c r="J773" t="s">
        <v>3747</v>
      </c>
    </row>
    <row r="774" spans="1:10" x14ac:dyDescent="0.2">
      <c r="A774" t="s">
        <v>4011</v>
      </c>
      <c r="B774">
        <v>448</v>
      </c>
      <c r="C774">
        <v>32</v>
      </c>
      <c r="D774">
        <v>25</v>
      </c>
      <c r="E774">
        <v>98</v>
      </c>
      <c r="F774">
        <v>75</v>
      </c>
      <c r="G774">
        <v>25</v>
      </c>
      <c r="H774">
        <v>32</v>
      </c>
      <c r="I774">
        <v>38</v>
      </c>
      <c r="J774" t="s">
        <v>3747</v>
      </c>
    </row>
    <row r="775" spans="1:10" x14ac:dyDescent="0.2">
      <c r="A775" t="s">
        <v>4012</v>
      </c>
      <c r="B775">
        <v>537</v>
      </c>
      <c r="C775">
        <v>32</v>
      </c>
      <c r="D775">
        <v>24</v>
      </c>
      <c r="E775">
        <v>98</v>
      </c>
      <c r="F775">
        <v>74</v>
      </c>
      <c r="G775">
        <v>18</v>
      </c>
      <c r="H775">
        <v>25</v>
      </c>
      <c r="I775">
        <v>31</v>
      </c>
      <c r="J775" t="s">
        <v>3747</v>
      </c>
    </row>
    <row r="776" spans="1:10" x14ac:dyDescent="0.2">
      <c r="A776" t="s">
        <v>4013</v>
      </c>
      <c r="B776">
        <v>1026</v>
      </c>
      <c r="C776">
        <v>29</v>
      </c>
      <c r="D776">
        <v>32</v>
      </c>
      <c r="E776">
        <v>98</v>
      </c>
      <c r="F776">
        <v>73</v>
      </c>
      <c r="G776">
        <v>12</v>
      </c>
      <c r="H776">
        <v>19</v>
      </c>
      <c r="I776">
        <v>25</v>
      </c>
      <c r="J776" t="s">
        <v>3747</v>
      </c>
    </row>
    <row r="777" spans="1:10" x14ac:dyDescent="0.2">
      <c r="A777" t="s">
        <v>4014</v>
      </c>
      <c r="B777">
        <v>642</v>
      </c>
      <c r="C777">
        <v>33</v>
      </c>
      <c r="D777">
        <v>22</v>
      </c>
      <c r="E777">
        <v>99</v>
      </c>
      <c r="F777">
        <v>74</v>
      </c>
      <c r="G777">
        <v>17</v>
      </c>
      <c r="H777">
        <v>24</v>
      </c>
      <c r="I777">
        <v>30</v>
      </c>
      <c r="J777" t="s">
        <v>3747</v>
      </c>
    </row>
    <row r="778" spans="1:10" x14ac:dyDescent="0.2">
      <c r="A778" t="s">
        <v>4015</v>
      </c>
      <c r="B778">
        <v>884</v>
      </c>
      <c r="C778">
        <v>28</v>
      </c>
      <c r="D778">
        <v>32</v>
      </c>
      <c r="E778">
        <v>99</v>
      </c>
      <c r="F778">
        <v>73</v>
      </c>
      <c r="G778">
        <v>11</v>
      </c>
      <c r="H778">
        <v>18</v>
      </c>
      <c r="I778">
        <v>24</v>
      </c>
      <c r="J778" t="s">
        <v>3747</v>
      </c>
    </row>
    <row r="779" spans="1:10" x14ac:dyDescent="0.2">
      <c r="A779" t="s">
        <v>4016</v>
      </c>
      <c r="B779">
        <v>3918</v>
      </c>
      <c r="C779">
        <v>31</v>
      </c>
      <c r="D779">
        <v>25</v>
      </c>
      <c r="E779">
        <v>98</v>
      </c>
      <c r="F779">
        <v>64</v>
      </c>
      <c r="G779">
        <v>-33</v>
      </c>
      <c r="H779">
        <v>-26</v>
      </c>
      <c r="I779">
        <v>-20</v>
      </c>
      <c r="J779" t="s">
        <v>831</v>
      </c>
    </row>
    <row r="780" spans="1:10" x14ac:dyDescent="0.2">
      <c r="A780" t="s">
        <v>17</v>
      </c>
      <c r="B780">
        <v>650</v>
      </c>
      <c r="C780">
        <v>32</v>
      </c>
      <c r="D780">
        <v>22</v>
      </c>
      <c r="E780">
        <v>99</v>
      </c>
      <c r="F780">
        <v>74</v>
      </c>
      <c r="G780">
        <v>17</v>
      </c>
      <c r="H780">
        <v>24</v>
      </c>
      <c r="I780">
        <v>30</v>
      </c>
      <c r="J780" t="s">
        <v>3747</v>
      </c>
    </row>
    <row r="781" spans="1:10" x14ac:dyDescent="0.2">
      <c r="A781" t="s">
        <v>18</v>
      </c>
      <c r="B781">
        <v>709</v>
      </c>
      <c r="C781">
        <v>32</v>
      </c>
      <c r="D781">
        <v>24</v>
      </c>
      <c r="E781">
        <v>98</v>
      </c>
      <c r="F781">
        <v>74</v>
      </c>
      <c r="G781">
        <v>18</v>
      </c>
      <c r="H781">
        <v>25</v>
      </c>
      <c r="I781">
        <v>31</v>
      </c>
      <c r="J781" t="s">
        <v>3747</v>
      </c>
    </row>
    <row r="782" spans="1:10" x14ac:dyDescent="0.2">
      <c r="A782" t="s">
        <v>19</v>
      </c>
      <c r="B782">
        <v>7</v>
      </c>
      <c r="C782">
        <v>29</v>
      </c>
      <c r="D782">
        <v>36</v>
      </c>
      <c r="E782">
        <v>89</v>
      </c>
      <c r="F782">
        <v>79</v>
      </c>
      <c r="G782">
        <v>51</v>
      </c>
      <c r="H782">
        <v>58</v>
      </c>
      <c r="I782">
        <v>64</v>
      </c>
      <c r="J782" t="s">
        <v>1527</v>
      </c>
    </row>
    <row r="783" spans="1:10" x14ac:dyDescent="0.2">
      <c r="A783" t="s">
        <v>20</v>
      </c>
      <c r="B783">
        <v>535</v>
      </c>
      <c r="C783">
        <v>33</v>
      </c>
      <c r="D783">
        <v>22</v>
      </c>
      <c r="E783">
        <v>99</v>
      </c>
      <c r="F783">
        <v>74</v>
      </c>
      <c r="G783">
        <v>17</v>
      </c>
      <c r="H783">
        <v>24</v>
      </c>
      <c r="I783">
        <v>30</v>
      </c>
      <c r="J783" t="s">
        <v>3747</v>
      </c>
    </row>
    <row r="784" spans="1:10" x14ac:dyDescent="0.2">
      <c r="A784" t="s">
        <v>21</v>
      </c>
      <c r="B784">
        <v>5453</v>
      </c>
      <c r="C784">
        <v>31</v>
      </c>
      <c r="D784">
        <v>19</v>
      </c>
      <c r="E784">
        <v>89</v>
      </c>
      <c r="F784">
        <v>60</v>
      </c>
      <c r="G784">
        <v>-39</v>
      </c>
      <c r="H784">
        <v>-32</v>
      </c>
      <c r="I784">
        <v>-26</v>
      </c>
      <c r="J784" t="s">
        <v>3747</v>
      </c>
    </row>
    <row r="785" spans="1:10" x14ac:dyDescent="0.2">
      <c r="A785" t="s">
        <v>22</v>
      </c>
      <c r="B785">
        <v>35</v>
      </c>
      <c r="C785">
        <v>26</v>
      </c>
      <c r="D785">
        <v>39</v>
      </c>
      <c r="E785">
        <v>94</v>
      </c>
      <c r="F785">
        <v>77</v>
      </c>
      <c r="G785">
        <v>44</v>
      </c>
      <c r="H785">
        <v>51</v>
      </c>
      <c r="I785">
        <v>57</v>
      </c>
      <c r="J785" t="s">
        <v>3747</v>
      </c>
    </row>
    <row r="786" spans="1:10" x14ac:dyDescent="0.2">
      <c r="A786" t="s">
        <v>23</v>
      </c>
      <c r="B786">
        <v>96</v>
      </c>
      <c r="C786">
        <v>29</v>
      </c>
      <c r="D786">
        <v>31</v>
      </c>
      <c r="E786">
        <v>94</v>
      </c>
      <c r="F786">
        <v>77</v>
      </c>
      <c r="G786">
        <v>44</v>
      </c>
      <c r="H786">
        <v>51</v>
      </c>
      <c r="I786">
        <v>57</v>
      </c>
      <c r="J786" t="s">
        <v>3747</v>
      </c>
    </row>
    <row r="787" spans="1:10" x14ac:dyDescent="0.2">
      <c r="A787" t="s">
        <v>24</v>
      </c>
      <c r="B787">
        <v>46</v>
      </c>
      <c r="C787">
        <v>29</v>
      </c>
      <c r="D787">
        <v>34</v>
      </c>
      <c r="E787">
        <v>93</v>
      </c>
      <c r="F787">
        <v>77</v>
      </c>
      <c r="G787">
        <v>46</v>
      </c>
      <c r="H787">
        <v>53</v>
      </c>
      <c r="I787">
        <v>59</v>
      </c>
      <c r="J787" t="s">
        <v>3747</v>
      </c>
    </row>
    <row r="788" spans="1:10" x14ac:dyDescent="0.2">
      <c r="A788" t="s">
        <v>25</v>
      </c>
      <c r="B788">
        <v>363</v>
      </c>
      <c r="C788">
        <v>30</v>
      </c>
      <c r="D788">
        <v>27</v>
      </c>
      <c r="E788">
        <v>98</v>
      </c>
      <c r="F788">
        <v>75</v>
      </c>
      <c r="G788">
        <v>25</v>
      </c>
      <c r="H788">
        <v>32</v>
      </c>
      <c r="I788">
        <v>38</v>
      </c>
      <c r="J788" t="s">
        <v>3747</v>
      </c>
    </row>
    <row r="789" spans="1:10" x14ac:dyDescent="0.2">
      <c r="A789" t="s">
        <v>26</v>
      </c>
      <c r="B789">
        <v>1713</v>
      </c>
      <c r="C789">
        <v>30</v>
      </c>
      <c r="D789">
        <v>23</v>
      </c>
      <c r="E789">
        <v>98</v>
      </c>
      <c r="F789">
        <v>71</v>
      </c>
      <c r="G789">
        <v>1</v>
      </c>
      <c r="H789">
        <v>8</v>
      </c>
      <c r="I789">
        <v>14</v>
      </c>
      <c r="J789" t="s">
        <v>831</v>
      </c>
    </row>
    <row r="790" spans="1:10" x14ac:dyDescent="0.2">
      <c r="A790" t="s">
        <v>27</v>
      </c>
      <c r="B790">
        <v>1014</v>
      </c>
      <c r="C790">
        <v>31</v>
      </c>
      <c r="D790">
        <v>27</v>
      </c>
      <c r="E790">
        <v>96</v>
      </c>
      <c r="F790">
        <v>73</v>
      </c>
      <c r="G790">
        <v>16</v>
      </c>
      <c r="H790">
        <v>23</v>
      </c>
      <c r="I790">
        <v>29</v>
      </c>
      <c r="J790" t="s">
        <v>3747</v>
      </c>
    </row>
    <row r="791" spans="1:10" x14ac:dyDescent="0.2">
      <c r="A791" t="s">
        <v>4175</v>
      </c>
      <c r="B791">
        <v>50</v>
      </c>
      <c r="C791">
        <v>27</v>
      </c>
      <c r="D791">
        <v>36</v>
      </c>
      <c r="E791">
        <v>96</v>
      </c>
      <c r="F791">
        <v>78</v>
      </c>
      <c r="G791">
        <v>47</v>
      </c>
      <c r="H791">
        <v>54</v>
      </c>
      <c r="I791">
        <v>60</v>
      </c>
      <c r="J791" t="s">
        <v>3747</v>
      </c>
    </row>
    <row r="792" spans="1:10" x14ac:dyDescent="0.2">
      <c r="A792" t="s">
        <v>4176</v>
      </c>
      <c r="B792">
        <v>2998</v>
      </c>
      <c r="C792">
        <v>32</v>
      </c>
      <c r="D792">
        <v>17</v>
      </c>
      <c r="E792">
        <v>96</v>
      </c>
      <c r="F792">
        <v>69</v>
      </c>
      <c r="G792">
        <v>-7</v>
      </c>
      <c r="H792">
        <v>0</v>
      </c>
      <c r="I792">
        <v>6</v>
      </c>
      <c r="J792" t="s">
        <v>831</v>
      </c>
    </row>
    <row r="793" spans="1:10" x14ac:dyDescent="0.2">
      <c r="A793" t="s">
        <v>4177</v>
      </c>
      <c r="B793">
        <v>512</v>
      </c>
      <c r="C793">
        <v>27</v>
      </c>
      <c r="D793">
        <v>36</v>
      </c>
      <c r="E793">
        <v>101</v>
      </c>
      <c r="F793">
        <v>74</v>
      </c>
      <c r="G793">
        <v>14</v>
      </c>
      <c r="H793">
        <v>21</v>
      </c>
      <c r="I793">
        <v>27</v>
      </c>
      <c r="J793" t="s">
        <v>3747</v>
      </c>
    </row>
    <row r="794" spans="1:10" x14ac:dyDescent="0.2">
      <c r="A794" t="s">
        <v>4178</v>
      </c>
      <c r="B794">
        <v>32</v>
      </c>
      <c r="C794">
        <v>24</v>
      </c>
      <c r="D794">
        <v>97</v>
      </c>
      <c r="E794">
        <v>76</v>
      </c>
      <c r="F794">
        <v>33</v>
      </c>
      <c r="G794">
        <v>40</v>
      </c>
      <c r="H794">
        <v>46</v>
      </c>
      <c r="I794" t="s">
        <v>3747</v>
      </c>
    </row>
    <row r="795" spans="1:10" x14ac:dyDescent="0.2">
      <c r="A795" t="s">
        <v>4179</v>
      </c>
      <c r="B795">
        <v>3254</v>
      </c>
      <c r="C795">
        <v>33</v>
      </c>
      <c r="D795">
        <v>17</v>
      </c>
      <c r="E795">
        <v>95</v>
      </c>
      <c r="F795">
        <v>67</v>
      </c>
      <c r="G795">
        <v>-13</v>
      </c>
      <c r="H795">
        <v>-6</v>
      </c>
      <c r="I795">
        <v>0</v>
      </c>
      <c r="J795" t="s">
        <v>831</v>
      </c>
    </row>
    <row r="796" spans="1:10" x14ac:dyDescent="0.2">
      <c r="A796" t="s">
        <v>4180</v>
      </c>
      <c r="B796">
        <v>3338</v>
      </c>
      <c r="C796">
        <v>33</v>
      </c>
      <c r="D796">
        <v>18</v>
      </c>
      <c r="E796">
        <v>95</v>
      </c>
      <c r="F796">
        <v>67</v>
      </c>
      <c r="G796">
        <v>-14</v>
      </c>
      <c r="H796">
        <v>-7</v>
      </c>
      <c r="I796">
        <v>-1</v>
      </c>
      <c r="J796" t="s">
        <v>831</v>
      </c>
    </row>
    <row r="797" spans="1:10" x14ac:dyDescent="0.2">
      <c r="A797" t="s">
        <v>4181</v>
      </c>
      <c r="B797">
        <v>277</v>
      </c>
      <c r="C797">
        <v>31</v>
      </c>
      <c r="D797">
        <v>27</v>
      </c>
      <c r="E797">
        <v>95</v>
      </c>
      <c r="F797">
        <v>77</v>
      </c>
      <c r="G797">
        <v>42</v>
      </c>
      <c r="H797">
        <v>49</v>
      </c>
      <c r="I797">
        <v>55</v>
      </c>
      <c r="J797" t="s">
        <v>3747</v>
      </c>
    </row>
    <row r="798" spans="1:10" x14ac:dyDescent="0.2">
      <c r="A798" t="s">
        <v>4182</v>
      </c>
      <c r="B798">
        <v>4859</v>
      </c>
      <c r="C798">
        <v>30</v>
      </c>
      <c r="D798">
        <v>19</v>
      </c>
      <c r="E798">
        <v>92</v>
      </c>
      <c r="F798">
        <v>61</v>
      </c>
      <c r="G798">
        <v>-39</v>
      </c>
      <c r="H798">
        <v>-32</v>
      </c>
      <c r="I798">
        <v>-26</v>
      </c>
      <c r="J798" t="s">
        <v>831</v>
      </c>
    </row>
    <row r="799" spans="1:10" x14ac:dyDescent="0.2">
      <c r="A799" t="s">
        <v>4183</v>
      </c>
      <c r="B799">
        <v>108</v>
      </c>
      <c r="C799">
        <v>26</v>
      </c>
      <c r="D799">
        <v>40</v>
      </c>
      <c r="E799">
        <v>98</v>
      </c>
      <c r="F799">
        <v>76</v>
      </c>
      <c r="G799">
        <v>31</v>
      </c>
      <c r="H799">
        <v>38</v>
      </c>
      <c r="I799">
        <v>44</v>
      </c>
      <c r="J799" t="s">
        <v>3747</v>
      </c>
    </row>
    <row r="800" spans="1:10" x14ac:dyDescent="0.2">
      <c r="A800" t="s">
        <v>4184</v>
      </c>
      <c r="B800">
        <v>2851</v>
      </c>
      <c r="C800">
        <v>32</v>
      </c>
      <c r="D800">
        <v>22</v>
      </c>
      <c r="E800">
        <v>97</v>
      </c>
      <c r="F800">
        <v>67</v>
      </c>
      <c r="G800">
        <v>-19</v>
      </c>
      <c r="H800">
        <v>-12</v>
      </c>
      <c r="I800">
        <v>-6</v>
      </c>
      <c r="J800" t="s">
        <v>831</v>
      </c>
    </row>
    <row r="801" spans="1:10" x14ac:dyDescent="0.2">
      <c r="A801" t="s">
        <v>4185</v>
      </c>
      <c r="B801">
        <v>972</v>
      </c>
      <c r="C801">
        <v>32</v>
      </c>
      <c r="D801">
        <v>22</v>
      </c>
      <c r="E801">
        <v>99</v>
      </c>
      <c r="F801">
        <v>74</v>
      </c>
      <c r="G801">
        <v>17</v>
      </c>
      <c r="H801">
        <v>24</v>
      </c>
      <c r="I801">
        <v>30</v>
      </c>
      <c r="J801" t="s">
        <v>3747</v>
      </c>
    </row>
    <row r="802" spans="1:10" x14ac:dyDescent="0.2">
      <c r="A802" t="s">
        <v>4186</v>
      </c>
      <c r="B802">
        <v>422</v>
      </c>
      <c r="C802">
        <v>31</v>
      </c>
      <c r="D802">
        <v>27</v>
      </c>
      <c r="E802">
        <v>98</v>
      </c>
      <c r="F802">
        <v>76</v>
      </c>
      <c r="G802">
        <v>31</v>
      </c>
      <c r="H802">
        <v>38</v>
      </c>
      <c r="I802">
        <v>44</v>
      </c>
      <c r="J802" t="s">
        <v>3747</v>
      </c>
    </row>
    <row r="803" spans="1:10" x14ac:dyDescent="0.2">
      <c r="A803" t="s">
        <v>4187</v>
      </c>
      <c r="B803">
        <v>3244</v>
      </c>
      <c r="C803">
        <v>35</v>
      </c>
      <c r="D803">
        <v>12</v>
      </c>
      <c r="E803">
        <v>96</v>
      </c>
      <c r="F803">
        <v>67</v>
      </c>
      <c r="G803">
        <v>-15</v>
      </c>
      <c r="H803">
        <v>-8</v>
      </c>
      <c r="I803">
        <v>-2</v>
      </c>
      <c r="J803" t="s">
        <v>831</v>
      </c>
    </row>
    <row r="804" spans="1:10" x14ac:dyDescent="0.2">
      <c r="A804" t="s">
        <v>4188</v>
      </c>
      <c r="B804">
        <v>2611</v>
      </c>
      <c r="C804">
        <v>31</v>
      </c>
      <c r="D804">
        <v>21</v>
      </c>
      <c r="E804">
        <v>98</v>
      </c>
      <c r="F804">
        <v>69</v>
      </c>
      <c r="G804">
        <v>-10</v>
      </c>
      <c r="H804">
        <v>-3</v>
      </c>
      <c r="I804">
        <v>3</v>
      </c>
      <c r="J804" t="s">
        <v>831</v>
      </c>
    </row>
    <row r="805" spans="1:10" x14ac:dyDescent="0.2">
      <c r="A805" t="s">
        <v>2136</v>
      </c>
      <c r="B805">
        <v>3374</v>
      </c>
      <c r="C805">
        <v>34</v>
      </c>
      <c r="D805">
        <v>13</v>
      </c>
      <c r="E805">
        <v>96</v>
      </c>
      <c r="F805">
        <v>68</v>
      </c>
      <c r="G805">
        <v>-10</v>
      </c>
      <c r="H805">
        <v>-3</v>
      </c>
      <c r="I805">
        <v>3</v>
      </c>
      <c r="J805" t="s">
        <v>831</v>
      </c>
    </row>
    <row r="806" spans="1:10" x14ac:dyDescent="0.2">
      <c r="A806" t="s">
        <v>2137</v>
      </c>
      <c r="B806">
        <v>16</v>
      </c>
      <c r="C806">
        <v>30</v>
      </c>
      <c r="D806">
        <v>31</v>
      </c>
      <c r="E806">
        <v>93</v>
      </c>
      <c r="F806">
        <v>78</v>
      </c>
      <c r="G806">
        <v>52</v>
      </c>
      <c r="H806">
        <v>59</v>
      </c>
      <c r="I806">
        <v>65</v>
      </c>
      <c r="J806" t="s">
        <v>3747</v>
      </c>
    </row>
    <row r="807" spans="1:10" x14ac:dyDescent="0.2">
      <c r="A807" t="s">
        <v>2138</v>
      </c>
      <c r="B807">
        <v>1877</v>
      </c>
      <c r="C807">
        <v>31</v>
      </c>
      <c r="D807">
        <v>24</v>
      </c>
      <c r="E807">
        <v>97</v>
      </c>
      <c r="F807">
        <v>70</v>
      </c>
      <c r="G807">
        <v>-3</v>
      </c>
      <c r="H807">
        <v>4</v>
      </c>
      <c r="I807">
        <v>10</v>
      </c>
      <c r="J807" t="s">
        <v>3747</v>
      </c>
    </row>
    <row r="808" spans="1:10" x14ac:dyDescent="0.2">
      <c r="A808" t="s">
        <v>2139</v>
      </c>
      <c r="B808">
        <v>788</v>
      </c>
      <c r="C808">
        <v>29</v>
      </c>
      <c r="D808">
        <v>30</v>
      </c>
      <c r="E808">
        <v>96</v>
      </c>
      <c r="F808">
        <v>73</v>
      </c>
      <c r="G808">
        <v>16</v>
      </c>
      <c r="H808">
        <v>23</v>
      </c>
      <c r="I808">
        <v>29</v>
      </c>
      <c r="J808" t="s">
        <v>3747</v>
      </c>
    </row>
    <row r="809" spans="1:10" x14ac:dyDescent="0.2">
      <c r="A809" t="s">
        <v>2140</v>
      </c>
      <c r="B809">
        <v>690</v>
      </c>
      <c r="C809">
        <v>29</v>
      </c>
      <c r="D809">
        <v>32</v>
      </c>
      <c r="E809">
        <v>97</v>
      </c>
      <c r="F809">
        <v>74</v>
      </c>
      <c r="G809">
        <v>20</v>
      </c>
      <c r="H809">
        <v>27</v>
      </c>
      <c r="I809">
        <v>33</v>
      </c>
      <c r="J809" t="s">
        <v>3747</v>
      </c>
    </row>
    <row r="810" spans="1:10" x14ac:dyDescent="0.2">
      <c r="A810" t="s">
        <v>2141</v>
      </c>
      <c r="B810">
        <v>761</v>
      </c>
      <c r="C810">
        <v>29</v>
      </c>
      <c r="D810">
        <v>31</v>
      </c>
      <c r="E810">
        <v>96</v>
      </c>
      <c r="F810">
        <v>74</v>
      </c>
      <c r="G810">
        <v>22</v>
      </c>
      <c r="H810">
        <v>29</v>
      </c>
      <c r="I810">
        <v>35</v>
      </c>
      <c r="J810" t="s">
        <v>3747</v>
      </c>
    </row>
    <row r="811" spans="1:10" x14ac:dyDescent="0.2">
      <c r="A811" t="s">
        <v>2142</v>
      </c>
      <c r="B811">
        <v>2838</v>
      </c>
      <c r="C811">
        <v>30</v>
      </c>
      <c r="D811">
        <v>28</v>
      </c>
      <c r="E811">
        <v>95</v>
      </c>
      <c r="F811">
        <v>68</v>
      </c>
      <c r="G811">
        <v>-11</v>
      </c>
      <c r="H811">
        <v>-4</v>
      </c>
      <c r="I811">
        <v>2</v>
      </c>
      <c r="J811" t="s">
        <v>3747</v>
      </c>
    </row>
    <row r="812" spans="1:10" x14ac:dyDescent="0.2">
      <c r="A812" t="s">
        <v>2143</v>
      </c>
      <c r="B812">
        <v>763</v>
      </c>
      <c r="C812">
        <v>33</v>
      </c>
      <c r="D812">
        <v>20</v>
      </c>
      <c r="E812">
        <v>98</v>
      </c>
      <c r="F812">
        <v>75</v>
      </c>
      <c r="G812">
        <v>25</v>
      </c>
      <c r="H812">
        <v>32</v>
      </c>
      <c r="I812">
        <v>38</v>
      </c>
      <c r="J812" t="s">
        <v>3747</v>
      </c>
    </row>
    <row r="813" spans="1:10" x14ac:dyDescent="0.2">
      <c r="A813" t="s">
        <v>2144</v>
      </c>
      <c r="B813">
        <v>2430</v>
      </c>
      <c r="C813">
        <v>32</v>
      </c>
      <c r="D813">
        <v>18</v>
      </c>
      <c r="E813">
        <v>98</v>
      </c>
      <c r="F813">
        <v>70</v>
      </c>
      <c r="G813">
        <v>-5</v>
      </c>
      <c r="H813">
        <v>2</v>
      </c>
      <c r="I813">
        <v>8</v>
      </c>
      <c r="J813" t="s">
        <v>3747</v>
      </c>
    </row>
    <row r="814" spans="1:10" x14ac:dyDescent="0.2">
      <c r="A814" t="s">
        <v>2145</v>
      </c>
      <c r="B814">
        <v>682</v>
      </c>
      <c r="C814">
        <v>31</v>
      </c>
      <c r="D814">
        <v>27</v>
      </c>
      <c r="E814">
        <v>99</v>
      </c>
      <c r="F814">
        <v>74</v>
      </c>
      <c r="G814">
        <v>17</v>
      </c>
      <c r="H814">
        <v>24</v>
      </c>
      <c r="I814">
        <v>30</v>
      </c>
      <c r="J814" t="s">
        <v>3747</v>
      </c>
    </row>
    <row r="815" spans="1:10" x14ac:dyDescent="0.2">
      <c r="A815" t="s">
        <v>2146</v>
      </c>
      <c r="B815">
        <v>544</v>
      </c>
      <c r="C815">
        <v>32</v>
      </c>
      <c r="D815">
        <v>24</v>
      </c>
      <c r="E815">
        <v>97</v>
      </c>
      <c r="F815">
        <v>76</v>
      </c>
      <c r="G815">
        <v>33</v>
      </c>
      <c r="H815">
        <v>40</v>
      </c>
      <c r="I815">
        <v>46</v>
      </c>
      <c r="J815" t="s">
        <v>3747</v>
      </c>
    </row>
    <row r="816" spans="1:10" x14ac:dyDescent="0.2">
      <c r="A816" t="s">
        <v>2147</v>
      </c>
      <c r="B816">
        <v>1264</v>
      </c>
      <c r="C816">
        <v>34</v>
      </c>
      <c r="D816">
        <v>17</v>
      </c>
      <c r="E816">
        <v>100</v>
      </c>
      <c r="F816">
        <v>73</v>
      </c>
      <c r="G816">
        <v>9</v>
      </c>
      <c r="H816">
        <v>16</v>
      </c>
      <c r="I816">
        <v>22</v>
      </c>
      <c r="J816" t="s">
        <v>3747</v>
      </c>
    </row>
    <row r="817" spans="1:10" x14ac:dyDescent="0.2">
      <c r="A817" t="s">
        <v>2148</v>
      </c>
      <c r="B817">
        <v>115</v>
      </c>
      <c r="C817">
        <v>28</v>
      </c>
      <c r="D817">
        <v>33</v>
      </c>
      <c r="E817">
        <v>94</v>
      </c>
      <c r="F817">
        <v>76</v>
      </c>
      <c r="G817">
        <v>37</v>
      </c>
      <c r="H817">
        <v>44</v>
      </c>
      <c r="I817">
        <v>50</v>
      </c>
      <c r="J817" t="s">
        <v>3747</v>
      </c>
    </row>
    <row r="818" spans="1:10" x14ac:dyDescent="0.2">
      <c r="A818" t="s">
        <v>2149</v>
      </c>
      <c r="B818">
        <v>501</v>
      </c>
      <c r="C818">
        <v>31</v>
      </c>
      <c r="D818">
        <v>26</v>
      </c>
      <c r="E818">
        <v>99</v>
      </c>
      <c r="F818">
        <v>75</v>
      </c>
      <c r="G818">
        <v>23</v>
      </c>
      <c r="H818">
        <v>30</v>
      </c>
      <c r="I818">
        <v>36</v>
      </c>
      <c r="J818" t="s">
        <v>3747</v>
      </c>
    </row>
    <row r="819" spans="1:10" x14ac:dyDescent="0.2">
      <c r="A819" t="s">
        <v>2150</v>
      </c>
      <c r="B819">
        <v>994</v>
      </c>
      <c r="C819">
        <v>34</v>
      </c>
      <c r="D819">
        <v>19</v>
      </c>
      <c r="E819">
        <v>100</v>
      </c>
      <c r="F819">
        <v>73</v>
      </c>
      <c r="G819">
        <v>9</v>
      </c>
      <c r="H819">
        <v>16</v>
      </c>
      <c r="I819">
        <v>22</v>
      </c>
      <c r="J819" t="s">
        <v>3747</v>
      </c>
    </row>
    <row r="820" spans="1:10" x14ac:dyDescent="0.2">
      <c r="A820" t="s">
        <v>2151</v>
      </c>
      <c r="B820">
        <v>5626</v>
      </c>
      <c r="C820">
        <v>37</v>
      </c>
      <c r="D820">
        <v>8</v>
      </c>
      <c r="E820">
        <v>91</v>
      </c>
      <c r="F820">
        <v>59</v>
      </c>
      <c r="G820">
        <v>-47</v>
      </c>
      <c r="H820">
        <v>-40</v>
      </c>
      <c r="I820">
        <v>-34</v>
      </c>
      <c r="J820" t="s">
        <v>831</v>
      </c>
    </row>
    <row r="821" spans="1:10" x14ac:dyDescent="0.2">
      <c r="A821" t="s">
        <v>2152</v>
      </c>
      <c r="B821">
        <v>4454</v>
      </c>
      <c r="C821">
        <v>41</v>
      </c>
      <c r="D821">
        <v>2</v>
      </c>
      <c r="E821">
        <v>91</v>
      </c>
      <c r="F821">
        <v>61</v>
      </c>
      <c r="G821">
        <v>-37</v>
      </c>
      <c r="H821">
        <v>-30</v>
      </c>
      <c r="I821">
        <v>-24</v>
      </c>
      <c r="J821" t="s">
        <v>831</v>
      </c>
    </row>
    <row r="822" spans="1:10" x14ac:dyDescent="0.2">
      <c r="A822" t="s">
        <v>2153</v>
      </c>
      <c r="B822">
        <v>4553</v>
      </c>
      <c r="C822">
        <v>38</v>
      </c>
      <c r="D822">
        <v>11</v>
      </c>
      <c r="E822">
        <v>98</v>
      </c>
      <c r="F822">
        <v>60</v>
      </c>
      <c r="G822">
        <v>-53</v>
      </c>
      <c r="H822">
        <v>-46</v>
      </c>
      <c r="I822">
        <v>-40</v>
      </c>
      <c r="J822" t="s">
        <v>831</v>
      </c>
    </row>
    <row r="823" spans="1:10" x14ac:dyDescent="0.2">
      <c r="A823" t="s">
        <v>2154</v>
      </c>
      <c r="B823">
        <v>4785</v>
      </c>
      <c r="C823">
        <v>41</v>
      </c>
      <c r="D823">
        <v>11</v>
      </c>
      <c r="E823">
        <v>90</v>
      </c>
      <c r="F823">
        <v>60</v>
      </c>
      <c r="G823">
        <v>-41</v>
      </c>
      <c r="H823">
        <v>-34</v>
      </c>
      <c r="I823">
        <v>-28</v>
      </c>
      <c r="J823" t="s">
        <v>831</v>
      </c>
    </row>
    <row r="824" spans="1:10" x14ac:dyDescent="0.2">
      <c r="A824" t="s">
        <v>2155</v>
      </c>
      <c r="B824">
        <v>5921</v>
      </c>
      <c r="C824">
        <v>39</v>
      </c>
      <c r="D824">
        <v>5</v>
      </c>
      <c r="E824">
        <v>91</v>
      </c>
      <c r="F824">
        <v>60</v>
      </c>
      <c r="G824">
        <v>-42</v>
      </c>
      <c r="H824">
        <v>-35</v>
      </c>
      <c r="I824">
        <v>-29</v>
      </c>
      <c r="J824" t="s">
        <v>831</v>
      </c>
    </row>
    <row r="825" spans="1:10" x14ac:dyDescent="0.2">
      <c r="A825" t="s">
        <v>2156</v>
      </c>
      <c r="B825">
        <v>4448</v>
      </c>
      <c r="C825">
        <v>40</v>
      </c>
      <c r="D825">
        <v>6</v>
      </c>
      <c r="E825">
        <v>96</v>
      </c>
      <c r="F825">
        <v>62</v>
      </c>
      <c r="G825">
        <v>-40</v>
      </c>
      <c r="H825">
        <v>-33</v>
      </c>
      <c r="I825">
        <v>-27</v>
      </c>
      <c r="J825" t="s">
        <v>831</v>
      </c>
    </row>
    <row r="826" spans="1:10" x14ac:dyDescent="0.2">
      <c r="A826" t="s">
        <v>2157</v>
      </c>
      <c r="B826">
        <v>5279</v>
      </c>
      <c r="C826">
        <v>38</v>
      </c>
      <c r="D826">
        <v>5</v>
      </c>
      <c r="E826">
        <v>91</v>
      </c>
      <c r="F826">
        <v>60</v>
      </c>
      <c r="G826">
        <v>-42</v>
      </c>
      <c r="H826">
        <v>-35</v>
      </c>
      <c r="I826">
        <v>-29</v>
      </c>
      <c r="J826" t="s">
        <v>831</v>
      </c>
    </row>
    <row r="827" spans="1:10" x14ac:dyDescent="0.2">
      <c r="A827" t="s">
        <v>2158</v>
      </c>
      <c r="B827">
        <v>2941</v>
      </c>
      <c r="C827">
        <v>37</v>
      </c>
      <c r="D827">
        <v>21</v>
      </c>
      <c r="E827">
        <v>101</v>
      </c>
      <c r="F827">
        <v>65</v>
      </c>
      <c r="G827">
        <v>-36</v>
      </c>
      <c r="H827">
        <v>-29</v>
      </c>
      <c r="I827">
        <v>-23</v>
      </c>
      <c r="J827" t="s">
        <v>831</v>
      </c>
    </row>
    <row r="828" spans="1:10" x14ac:dyDescent="0.2">
      <c r="A828" t="s">
        <v>2159</v>
      </c>
      <c r="B828">
        <v>4220</v>
      </c>
      <c r="C828">
        <v>40</v>
      </c>
      <c r="D828">
        <v>11</v>
      </c>
      <c r="E828">
        <v>94</v>
      </c>
      <c r="F828">
        <v>62</v>
      </c>
      <c r="G828">
        <v>-37</v>
      </c>
      <c r="H828">
        <v>-30</v>
      </c>
      <c r="I828">
        <v>-24</v>
      </c>
      <c r="J828" t="s">
        <v>831</v>
      </c>
    </row>
    <row r="829" spans="1:10" x14ac:dyDescent="0.2">
      <c r="A829" t="s">
        <v>2160</v>
      </c>
      <c r="B829">
        <v>5274</v>
      </c>
      <c r="C829">
        <v>40</v>
      </c>
      <c r="D829">
        <v>0</v>
      </c>
      <c r="E829">
        <v>89</v>
      </c>
      <c r="F829">
        <v>60</v>
      </c>
      <c r="G829">
        <v>-39</v>
      </c>
      <c r="H829">
        <v>-32</v>
      </c>
      <c r="I829">
        <v>-26</v>
      </c>
      <c r="J829" t="s">
        <v>831</v>
      </c>
    </row>
    <row r="830" spans="1:10" x14ac:dyDescent="0.2">
      <c r="A830" t="s">
        <v>2161</v>
      </c>
      <c r="B830">
        <v>1165</v>
      </c>
      <c r="C830">
        <v>44</v>
      </c>
      <c r="D830">
        <v>-11</v>
      </c>
      <c r="E830">
        <v>81</v>
      </c>
      <c r="F830">
        <v>69</v>
      </c>
      <c r="G830">
        <v>17</v>
      </c>
      <c r="H830">
        <v>24</v>
      </c>
      <c r="I830">
        <v>30</v>
      </c>
      <c r="J830" t="s">
        <v>3747</v>
      </c>
    </row>
    <row r="831" spans="1:10" x14ac:dyDescent="0.2">
      <c r="A831" t="s">
        <v>2162</v>
      </c>
      <c r="B831">
        <v>332</v>
      </c>
      <c r="C831">
        <v>44</v>
      </c>
      <c r="D831">
        <v>-6</v>
      </c>
      <c r="E831">
        <v>84</v>
      </c>
      <c r="F831">
        <v>69</v>
      </c>
      <c r="G831">
        <v>12</v>
      </c>
      <c r="H831">
        <v>19</v>
      </c>
      <c r="I831">
        <v>25</v>
      </c>
      <c r="J831" t="s">
        <v>3747</v>
      </c>
    </row>
    <row r="832" spans="1:10" x14ac:dyDescent="0.2">
      <c r="A832" t="s">
        <v>2163</v>
      </c>
      <c r="B832">
        <v>1165</v>
      </c>
      <c r="C832">
        <v>44</v>
      </c>
      <c r="D832">
        <v>-6</v>
      </c>
      <c r="E832">
        <v>83</v>
      </c>
      <c r="F832">
        <v>68</v>
      </c>
      <c r="G832">
        <v>8</v>
      </c>
      <c r="H832">
        <v>15</v>
      </c>
      <c r="I832">
        <v>21</v>
      </c>
      <c r="J832" t="s">
        <v>3747</v>
      </c>
    </row>
    <row r="833" spans="1:10" x14ac:dyDescent="0.2">
      <c r="A833" t="s">
        <v>2164</v>
      </c>
      <c r="B833">
        <v>787</v>
      </c>
      <c r="C833">
        <v>43</v>
      </c>
      <c r="D833">
        <v>-8</v>
      </c>
      <c r="E833">
        <v>84</v>
      </c>
      <c r="F833">
        <v>70</v>
      </c>
      <c r="G833">
        <v>18</v>
      </c>
      <c r="H833">
        <v>25</v>
      </c>
      <c r="I833">
        <v>31</v>
      </c>
      <c r="J833" t="s">
        <v>3747</v>
      </c>
    </row>
    <row r="834" spans="1:10" x14ac:dyDescent="0.2">
      <c r="A834" t="s">
        <v>2165</v>
      </c>
      <c r="B834">
        <v>870</v>
      </c>
      <c r="C834">
        <v>38</v>
      </c>
      <c r="D834">
        <v>18</v>
      </c>
      <c r="E834">
        <v>91</v>
      </c>
      <c r="F834">
        <v>74</v>
      </c>
      <c r="G834">
        <v>30</v>
      </c>
      <c r="H834">
        <v>37</v>
      </c>
      <c r="I834">
        <v>43</v>
      </c>
      <c r="J834" t="s">
        <v>3747</v>
      </c>
    </row>
    <row r="835" spans="1:10" x14ac:dyDescent="0.2">
      <c r="A835" t="s">
        <v>2166</v>
      </c>
      <c r="B835">
        <v>572</v>
      </c>
      <c r="C835">
        <v>36</v>
      </c>
      <c r="D835">
        <v>16</v>
      </c>
      <c r="E835">
        <v>92</v>
      </c>
      <c r="F835">
        <v>73</v>
      </c>
      <c r="G835">
        <v>22</v>
      </c>
      <c r="H835">
        <v>29</v>
      </c>
      <c r="I835">
        <v>35</v>
      </c>
      <c r="J835" t="s">
        <v>3747</v>
      </c>
    </row>
    <row r="836" spans="1:10" x14ac:dyDescent="0.2">
      <c r="A836" t="s">
        <v>2557</v>
      </c>
      <c r="B836">
        <v>69</v>
      </c>
      <c r="C836">
        <v>38</v>
      </c>
      <c r="D836">
        <v>18</v>
      </c>
      <c r="E836">
        <v>93</v>
      </c>
      <c r="F836">
        <v>76</v>
      </c>
      <c r="G836">
        <v>39</v>
      </c>
      <c r="H836">
        <v>46</v>
      </c>
      <c r="I836">
        <v>52</v>
      </c>
      <c r="J836" t="s">
        <v>3747</v>
      </c>
    </row>
    <row r="837" spans="1:10" x14ac:dyDescent="0.2">
      <c r="A837" t="s">
        <v>2558</v>
      </c>
      <c r="B837">
        <v>85</v>
      </c>
      <c r="C837">
        <v>38</v>
      </c>
      <c r="D837">
        <v>14</v>
      </c>
      <c r="E837">
        <v>93</v>
      </c>
      <c r="F837">
        <v>75</v>
      </c>
      <c r="G837">
        <v>33</v>
      </c>
      <c r="H837">
        <v>40</v>
      </c>
      <c r="I837">
        <v>46</v>
      </c>
      <c r="J837" t="s">
        <v>3747</v>
      </c>
    </row>
    <row r="838" spans="1:10" x14ac:dyDescent="0.2">
      <c r="A838" t="s">
        <v>2559</v>
      </c>
      <c r="B838">
        <v>10</v>
      </c>
      <c r="C838">
        <v>37</v>
      </c>
      <c r="D838">
        <v>24</v>
      </c>
      <c r="E838">
        <v>91</v>
      </c>
      <c r="F838">
        <v>77</v>
      </c>
      <c r="G838">
        <v>49</v>
      </c>
      <c r="H838">
        <v>56</v>
      </c>
      <c r="I838">
        <v>62</v>
      </c>
      <c r="J838" t="s">
        <v>3747</v>
      </c>
    </row>
    <row r="839" spans="1:10" x14ac:dyDescent="0.2">
      <c r="A839" t="s">
        <v>2560</v>
      </c>
      <c r="B839">
        <v>1201</v>
      </c>
      <c r="C839">
        <v>38</v>
      </c>
      <c r="D839">
        <v>16</v>
      </c>
      <c r="E839">
        <v>91</v>
      </c>
      <c r="F839">
        <v>72</v>
      </c>
      <c r="G839">
        <v>18</v>
      </c>
      <c r="H839">
        <v>25</v>
      </c>
      <c r="I839">
        <v>31</v>
      </c>
      <c r="J839" t="s">
        <v>3747</v>
      </c>
    </row>
    <row r="840" spans="1:10" x14ac:dyDescent="0.2">
      <c r="A840" t="s">
        <v>2561</v>
      </c>
      <c r="B840">
        <v>916</v>
      </c>
      <c r="C840">
        <v>37</v>
      </c>
      <c r="D840">
        <v>17</v>
      </c>
      <c r="E840">
        <v>90</v>
      </c>
      <c r="F840">
        <v>74</v>
      </c>
      <c r="G840">
        <v>31</v>
      </c>
      <c r="H840">
        <v>38</v>
      </c>
      <c r="I840">
        <v>44</v>
      </c>
      <c r="J840" t="s">
        <v>3747</v>
      </c>
    </row>
    <row r="841" spans="1:10" x14ac:dyDescent="0.2">
      <c r="A841" t="s">
        <v>3873</v>
      </c>
      <c r="B841">
        <v>41</v>
      </c>
      <c r="C841">
        <v>37</v>
      </c>
      <c r="D841">
        <v>22</v>
      </c>
      <c r="E841">
        <v>92</v>
      </c>
      <c r="F841">
        <v>77</v>
      </c>
      <c r="G841">
        <v>47</v>
      </c>
      <c r="H841">
        <v>54</v>
      </c>
      <c r="I841">
        <v>60</v>
      </c>
      <c r="J841" t="s">
        <v>3747</v>
      </c>
    </row>
    <row r="842" spans="1:10" x14ac:dyDescent="0.2">
      <c r="A842" t="s">
        <v>3874</v>
      </c>
      <c r="B842">
        <v>22</v>
      </c>
      <c r="C842">
        <v>36</v>
      </c>
      <c r="D842">
        <v>24</v>
      </c>
      <c r="E842">
        <v>91</v>
      </c>
      <c r="F842">
        <v>76</v>
      </c>
      <c r="G842">
        <v>42</v>
      </c>
      <c r="H842">
        <v>49</v>
      </c>
      <c r="I842">
        <v>55</v>
      </c>
      <c r="J842" t="s">
        <v>3747</v>
      </c>
    </row>
    <row r="843" spans="1:10" x14ac:dyDescent="0.2">
      <c r="A843" t="s">
        <v>3875</v>
      </c>
      <c r="B843">
        <v>22</v>
      </c>
      <c r="C843">
        <v>36</v>
      </c>
      <c r="D843">
        <v>25</v>
      </c>
      <c r="E843">
        <v>91</v>
      </c>
      <c r="F843">
        <v>76</v>
      </c>
      <c r="G843">
        <v>42</v>
      </c>
      <c r="H843">
        <v>49</v>
      </c>
      <c r="I843">
        <v>55</v>
      </c>
      <c r="J843" t="s">
        <v>3747</v>
      </c>
    </row>
    <row r="844" spans="1:10" x14ac:dyDescent="0.2">
      <c r="A844" t="s">
        <v>3876</v>
      </c>
      <c r="B844">
        <v>193</v>
      </c>
      <c r="C844">
        <v>37</v>
      </c>
      <c r="D844">
        <v>17</v>
      </c>
      <c r="E844">
        <v>92</v>
      </c>
      <c r="F844">
        <v>76</v>
      </c>
      <c r="G844">
        <v>41</v>
      </c>
      <c r="H844">
        <v>48</v>
      </c>
      <c r="I844">
        <v>54</v>
      </c>
      <c r="J844" t="s">
        <v>3747</v>
      </c>
    </row>
    <row r="845" spans="1:10" x14ac:dyDescent="0.2">
      <c r="A845" t="s">
        <v>3877</v>
      </c>
      <c r="B845">
        <v>12</v>
      </c>
      <c r="C845">
        <v>38</v>
      </c>
      <c r="D845">
        <v>21</v>
      </c>
      <c r="E845">
        <v>92</v>
      </c>
      <c r="F845">
        <v>76</v>
      </c>
      <c r="G845">
        <v>41</v>
      </c>
      <c r="H845">
        <v>48</v>
      </c>
      <c r="I845">
        <v>54</v>
      </c>
      <c r="J845" t="s">
        <v>3747</v>
      </c>
    </row>
    <row r="846" spans="1:10" x14ac:dyDescent="0.2">
      <c r="A846" t="s">
        <v>3878</v>
      </c>
      <c r="B846">
        <v>164</v>
      </c>
      <c r="C846">
        <v>37</v>
      </c>
      <c r="D846">
        <v>18</v>
      </c>
      <c r="E846">
        <v>92</v>
      </c>
      <c r="F846">
        <v>75</v>
      </c>
      <c r="G846">
        <v>34</v>
      </c>
      <c r="H846">
        <v>41</v>
      </c>
      <c r="I846">
        <v>47</v>
      </c>
      <c r="J846" t="s">
        <v>3747</v>
      </c>
    </row>
    <row r="847" spans="1:10" x14ac:dyDescent="0.2">
      <c r="A847" t="s">
        <v>3879</v>
      </c>
      <c r="B847">
        <v>1193</v>
      </c>
      <c r="C847">
        <v>37</v>
      </c>
      <c r="D847">
        <v>17</v>
      </c>
      <c r="E847">
        <v>89</v>
      </c>
      <c r="F847">
        <v>72</v>
      </c>
      <c r="G847">
        <v>21</v>
      </c>
      <c r="H847">
        <v>28</v>
      </c>
      <c r="I847">
        <v>34</v>
      </c>
      <c r="J847" t="s">
        <v>3747</v>
      </c>
    </row>
    <row r="848" spans="1:10" x14ac:dyDescent="0.2">
      <c r="A848" t="s">
        <v>3880</v>
      </c>
      <c r="B848">
        <v>1201</v>
      </c>
      <c r="C848">
        <v>38</v>
      </c>
      <c r="D848">
        <v>16</v>
      </c>
      <c r="E848">
        <v>91</v>
      </c>
      <c r="F848">
        <v>72</v>
      </c>
      <c r="G848">
        <v>18</v>
      </c>
      <c r="H848">
        <v>25</v>
      </c>
      <c r="I848">
        <v>31</v>
      </c>
      <c r="J848" t="s">
        <v>3747</v>
      </c>
    </row>
    <row r="849" spans="1:10" x14ac:dyDescent="0.2">
      <c r="A849" t="s">
        <v>3881</v>
      </c>
      <c r="B849">
        <v>322</v>
      </c>
      <c r="C849">
        <v>38</v>
      </c>
      <c r="D849">
        <v>14</v>
      </c>
      <c r="E849">
        <v>90</v>
      </c>
      <c r="F849">
        <v>74</v>
      </c>
      <c r="G849">
        <v>31</v>
      </c>
      <c r="H849">
        <v>38</v>
      </c>
      <c r="I849">
        <v>44</v>
      </c>
      <c r="J849" t="s">
        <v>3747</v>
      </c>
    </row>
    <row r="850" spans="1:10" x14ac:dyDescent="0.2">
      <c r="A850" t="s">
        <v>3882</v>
      </c>
      <c r="B850">
        <v>66</v>
      </c>
      <c r="C850">
        <v>38</v>
      </c>
      <c r="D850">
        <v>20</v>
      </c>
      <c r="E850">
        <v>92</v>
      </c>
      <c r="F850">
        <v>76</v>
      </c>
      <c r="G850">
        <v>41</v>
      </c>
      <c r="H850">
        <v>48</v>
      </c>
      <c r="I850">
        <v>54</v>
      </c>
      <c r="J850" t="s">
        <v>3747</v>
      </c>
    </row>
    <row r="851" spans="1:10" x14ac:dyDescent="0.2">
      <c r="A851" t="s">
        <v>3883</v>
      </c>
      <c r="B851">
        <v>727</v>
      </c>
      <c r="C851">
        <v>39</v>
      </c>
      <c r="D851">
        <v>10</v>
      </c>
      <c r="E851">
        <v>90</v>
      </c>
      <c r="F851">
        <v>74</v>
      </c>
      <c r="G851">
        <v>31</v>
      </c>
      <c r="H851">
        <v>38</v>
      </c>
      <c r="I851">
        <v>44</v>
      </c>
      <c r="J851" t="s">
        <v>3747</v>
      </c>
    </row>
    <row r="852" spans="1:10" x14ac:dyDescent="0.2">
      <c r="A852" t="s">
        <v>3884</v>
      </c>
      <c r="B852">
        <v>12</v>
      </c>
      <c r="C852">
        <v>47</v>
      </c>
      <c r="D852">
        <v>28</v>
      </c>
      <c r="E852">
        <v>77</v>
      </c>
      <c r="F852">
        <v>62</v>
      </c>
      <c r="G852">
        <v>-12</v>
      </c>
      <c r="H852">
        <v>-5</v>
      </c>
      <c r="I852">
        <v>1</v>
      </c>
      <c r="J852" t="s">
        <v>3747</v>
      </c>
    </row>
    <row r="853" spans="1:10" x14ac:dyDescent="0.2">
      <c r="A853" t="s">
        <v>3885</v>
      </c>
      <c r="B853">
        <v>158</v>
      </c>
      <c r="C853">
        <v>48</v>
      </c>
      <c r="D853">
        <v>21</v>
      </c>
      <c r="E853">
        <v>76</v>
      </c>
      <c r="F853">
        <v>64</v>
      </c>
      <c r="G853">
        <v>-1</v>
      </c>
      <c r="H853">
        <v>6</v>
      </c>
      <c r="I853">
        <v>12</v>
      </c>
      <c r="J853" t="s">
        <v>3747</v>
      </c>
    </row>
    <row r="854" spans="1:10" x14ac:dyDescent="0.2">
      <c r="A854" t="s">
        <v>3886</v>
      </c>
      <c r="B854">
        <v>7</v>
      </c>
      <c r="C854">
        <v>47</v>
      </c>
      <c r="D854">
        <v>25</v>
      </c>
      <c r="E854">
        <v>78</v>
      </c>
      <c r="F854">
        <v>64</v>
      </c>
      <c r="G854">
        <v>-4</v>
      </c>
      <c r="H854">
        <v>3</v>
      </c>
      <c r="I854">
        <v>9</v>
      </c>
      <c r="J854" t="s">
        <v>3747</v>
      </c>
    </row>
    <row r="855" spans="1:10" x14ac:dyDescent="0.2">
      <c r="A855" t="s">
        <v>3887</v>
      </c>
      <c r="B855">
        <v>1760</v>
      </c>
      <c r="C855">
        <v>47</v>
      </c>
      <c r="D855">
        <v>6</v>
      </c>
      <c r="E855">
        <v>91</v>
      </c>
      <c r="F855">
        <v>64</v>
      </c>
      <c r="G855">
        <v>-25</v>
      </c>
      <c r="H855">
        <v>-18</v>
      </c>
      <c r="I855">
        <v>-12</v>
      </c>
      <c r="J855" t="s">
        <v>831</v>
      </c>
    </row>
    <row r="856" spans="1:10" x14ac:dyDescent="0.2">
      <c r="A856" t="s">
        <v>3888</v>
      </c>
      <c r="B856">
        <v>596</v>
      </c>
      <c r="C856">
        <v>47</v>
      </c>
      <c r="D856">
        <v>25</v>
      </c>
      <c r="E856">
        <v>76</v>
      </c>
      <c r="F856">
        <v>64</v>
      </c>
      <c r="G856">
        <v>-1</v>
      </c>
      <c r="H856">
        <v>6</v>
      </c>
      <c r="I856">
        <v>12</v>
      </c>
      <c r="J856" t="s">
        <v>3747</v>
      </c>
    </row>
    <row r="857" spans="1:10" x14ac:dyDescent="0.2">
      <c r="A857" t="s">
        <v>3889</v>
      </c>
      <c r="B857">
        <v>732</v>
      </c>
      <c r="C857">
        <v>46</v>
      </c>
      <c r="D857">
        <v>12</v>
      </c>
      <c r="E857">
        <v>96</v>
      </c>
      <c r="F857">
        <v>65</v>
      </c>
      <c r="G857">
        <v>-28</v>
      </c>
      <c r="H857">
        <v>-21</v>
      </c>
      <c r="I857">
        <v>-15</v>
      </c>
      <c r="J857" t="s">
        <v>831</v>
      </c>
    </row>
    <row r="858" spans="1:10" x14ac:dyDescent="0.2">
      <c r="A858" t="s">
        <v>3890</v>
      </c>
      <c r="B858">
        <v>531</v>
      </c>
      <c r="C858">
        <v>46</v>
      </c>
      <c r="D858">
        <v>11</v>
      </c>
      <c r="E858">
        <v>96</v>
      </c>
      <c r="F858">
        <v>67</v>
      </c>
      <c r="G858">
        <v>-18</v>
      </c>
      <c r="H858">
        <v>-11</v>
      </c>
      <c r="I858">
        <v>-5</v>
      </c>
      <c r="J858" t="s">
        <v>831</v>
      </c>
    </row>
    <row r="859" spans="1:10" x14ac:dyDescent="0.2">
      <c r="A859" t="s">
        <v>35</v>
      </c>
      <c r="B859">
        <v>12</v>
      </c>
      <c r="C859">
        <v>46</v>
      </c>
      <c r="D859">
        <v>24</v>
      </c>
      <c r="E859">
        <v>85</v>
      </c>
      <c r="F859">
        <v>67</v>
      </c>
      <c r="G859">
        <v>0</v>
      </c>
      <c r="H859">
        <v>7</v>
      </c>
      <c r="I859">
        <v>13</v>
      </c>
      <c r="J859" t="s">
        <v>831</v>
      </c>
    </row>
    <row r="860" spans="1:10" x14ac:dyDescent="0.2">
      <c r="A860" t="s">
        <v>36</v>
      </c>
      <c r="B860">
        <v>1185</v>
      </c>
      <c r="C860">
        <v>47</v>
      </c>
      <c r="D860">
        <v>7</v>
      </c>
      <c r="E860">
        <v>94</v>
      </c>
      <c r="F860">
        <v>65</v>
      </c>
      <c r="G860">
        <v>-25</v>
      </c>
      <c r="H860">
        <v>-18</v>
      </c>
      <c r="I860">
        <v>-12</v>
      </c>
      <c r="J860" t="s">
        <v>831</v>
      </c>
    </row>
    <row r="861" spans="1:10" x14ac:dyDescent="0.2">
      <c r="A861" t="s">
        <v>37</v>
      </c>
      <c r="B861">
        <v>215</v>
      </c>
      <c r="C861">
        <v>47</v>
      </c>
      <c r="D861">
        <v>23</v>
      </c>
      <c r="E861">
        <v>83</v>
      </c>
      <c r="F861">
        <v>65</v>
      </c>
      <c r="G861">
        <v>-7</v>
      </c>
      <c r="H861">
        <v>0</v>
      </c>
      <c r="I861">
        <v>6</v>
      </c>
      <c r="J861" t="s">
        <v>831</v>
      </c>
    </row>
    <row r="862" spans="1:10" x14ac:dyDescent="0.2">
      <c r="A862" t="s">
        <v>38</v>
      </c>
      <c r="B862">
        <v>288</v>
      </c>
      <c r="C862">
        <v>48</v>
      </c>
      <c r="D862">
        <v>27</v>
      </c>
      <c r="E862">
        <v>69</v>
      </c>
      <c r="F862">
        <v>61</v>
      </c>
      <c r="G862">
        <v>-4</v>
      </c>
      <c r="H862">
        <v>3</v>
      </c>
      <c r="I862">
        <v>9</v>
      </c>
      <c r="J862" t="s">
        <v>3747</v>
      </c>
    </row>
    <row r="863" spans="1:10" x14ac:dyDescent="0.2">
      <c r="A863" t="s">
        <v>39</v>
      </c>
      <c r="B863">
        <v>201</v>
      </c>
      <c r="C863">
        <v>47</v>
      </c>
      <c r="D863">
        <v>27</v>
      </c>
      <c r="E863">
        <v>74</v>
      </c>
      <c r="F863">
        <v>61</v>
      </c>
      <c r="G863">
        <v>-12</v>
      </c>
      <c r="H863">
        <v>-5</v>
      </c>
      <c r="I863">
        <v>1</v>
      </c>
      <c r="J863" t="s">
        <v>3747</v>
      </c>
    </row>
    <row r="864" spans="1:10" x14ac:dyDescent="0.2">
      <c r="A864" t="s">
        <v>40</v>
      </c>
      <c r="B864">
        <v>18</v>
      </c>
      <c r="C864">
        <v>47</v>
      </c>
      <c r="D864">
        <v>28</v>
      </c>
      <c r="E864">
        <v>81</v>
      </c>
      <c r="F864">
        <v>64</v>
      </c>
      <c r="G864">
        <v>-9</v>
      </c>
      <c r="H864">
        <v>-2</v>
      </c>
      <c r="I864">
        <v>4</v>
      </c>
      <c r="J864" t="s">
        <v>3747</v>
      </c>
    </row>
    <row r="865" spans="1:10" x14ac:dyDescent="0.2">
      <c r="A865" t="s">
        <v>41</v>
      </c>
      <c r="B865">
        <v>14</v>
      </c>
      <c r="C865">
        <v>47</v>
      </c>
      <c r="D865">
        <v>27</v>
      </c>
      <c r="E865">
        <v>82</v>
      </c>
      <c r="F865">
        <v>66</v>
      </c>
      <c r="G865">
        <v>0</v>
      </c>
      <c r="H865">
        <v>7</v>
      </c>
      <c r="I865">
        <v>13</v>
      </c>
      <c r="J865" t="s">
        <v>3747</v>
      </c>
    </row>
    <row r="866" spans="1:10" x14ac:dyDescent="0.2">
      <c r="A866" t="s">
        <v>42</v>
      </c>
      <c r="B866">
        <v>429</v>
      </c>
      <c r="C866">
        <v>47</v>
      </c>
      <c r="D866">
        <v>26</v>
      </c>
      <c r="E866">
        <v>80</v>
      </c>
      <c r="F866">
        <v>64</v>
      </c>
      <c r="G866">
        <v>-7</v>
      </c>
      <c r="H866">
        <v>0</v>
      </c>
      <c r="I866">
        <v>6</v>
      </c>
      <c r="J866" t="s">
        <v>3747</v>
      </c>
    </row>
    <row r="867" spans="1:10" x14ac:dyDescent="0.2">
      <c r="A867" t="s">
        <v>43</v>
      </c>
      <c r="B867">
        <v>2366</v>
      </c>
      <c r="C867">
        <v>47</v>
      </c>
      <c r="D867">
        <v>7</v>
      </c>
      <c r="E867">
        <v>89</v>
      </c>
      <c r="F867">
        <v>61</v>
      </c>
      <c r="G867">
        <v>-36</v>
      </c>
      <c r="H867">
        <v>-29</v>
      </c>
      <c r="I867">
        <v>-23</v>
      </c>
      <c r="J867" t="s">
        <v>3747</v>
      </c>
    </row>
    <row r="868" spans="1:10" x14ac:dyDescent="0.2">
      <c r="A868" t="s">
        <v>44</v>
      </c>
      <c r="B868">
        <v>3967</v>
      </c>
      <c r="C868">
        <v>47</v>
      </c>
      <c r="D868">
        <v>10</v>
      </c>
      <c r="E868">
        <v>74</v>
      </c>
      <c r="F868">
        <v>56</v>
      </c>
      <c r="J868" t="s">
        <v>3747</v>
      </c>
    </row>
    <row r="869" spans="1:10" x14ac:dyDescent="0.2">
      <c r="A869" t="s">
        <v>45</v>
      </c>
      <c r="B869">
        <v>322</v>
      </c>
      <c r="C869">
        <v>47</v>
      </c>
      <c r="D869">
        <v>24</v>
      </c>
      <c r="E869">
        <v>82</v>
      </c>
      <c r="F869">
        <v>63</v>
      </c>
      <c r="G869">
        <v>-15</v>
      </c>
      <c r="H869">
        <v>-8</v>
      </c>
      <c r="I869">
        <v>-2</v>
      </c>
      <c r="J869" t="s">
        <v>3747</v>
      </c>
    </row>
    <row r="870" spans="1:10" x14ac:dyDescent="0.2">
      <c r="A870" t="s">
        <v>46</v>
      </c>
      <c r="B870">
        <v>1206</v>
      </c>
      <c r="C870">
        <v>46</v>
      </c>
      <c r="D870">
        <v>12</v>
      </c>
      <c r="E870">
        <v>95</v>
      </c>
      <c r="F870">
        <v>65</v>
      </c>
      <c r="G870">
        <v>-26</v>
      </c>
      <c r="H870">
        <v>-19</v>
      </c>
      <c r="I870">
        <v>-13</v>
      </c>
      <c r="J870" t="s">
        <v>831</v>
      </c>
    </row>
    <row r="871" spans="1:10" x14ac:dyDescent="0.2">
      <c r="A871" t="s">
        <v>47</v>
      </c>
      <c r="B871">
        <v>1243</v>
      </c>
      <c r="C871">
        <v>47</v>
      </c>
      <c r="D871">
        <v>9</v>
      </c>
      <c r="E871">
        <v>92</v>
      </c>
      <c r="F871">
        <v>65</v>
      </c>
      <c r="G871">
        <v>-21</v>
      </c>
      <c r="H871">
        <v>-14</v>
      </c>
      <c r="I871">
        <v>-8</v>
      </c>
      <c r="J871" t="s">
        <v>831</v>
      </c>
    </row>
    <row r="872" spans="1:10" x14ac:dyDescent="0.2">
      <c r="A872" t="s">
        <v>48</v>
      </c>
      <c r="B872">
        <v>1052</v>
      </c>
      <c r="C872">
        <v>46</v>
      </c>
      <c r="D872">
        <v>11</v>
      </c>
      <c r="E872">
        <v>92</v>
      </c>
      <c r="F872">
        <v>64</v>
      </c>
      <c r="G872">
        <v>-26</v>
      </c>
      <c r="H872">
        <v>-19</v>
      </c>
      <c r="I872">
        <v>-13</v>
      </c>
      <c r="J872" t="s">
        <v>831</v>
      </c>
    </row>
    <row r="873" spans="1:10" x14ac:dyDescent="0.2">
      <c r="A873" t="s">
        <v>3043</v>
      </c>
      <c r="B873">
        <v>2504</v>
      </c>
      <c r="C873">
        <v>37</v>
      </c>
      <c r="D873">
        <v>4</v>
      </c>
      <c r="E873">
        <v>81</v>
      </c>
      <c r="F873">
        <v>69</v>
      </c>
      <c r="G873">
        <v>17</v>
      </c>
      <c r="H873">
        <v>24</v>
      </c>
      <c r="I873">
        <v>30</v>
      </c>
      <c r="J873" t="s">
        <v>3747</v>
      </c>
    </row>
    <row r="874" spans="1:10" x14ac:dyDescent="0.2">
      <c r="A874" t="s">
        <v>3044</v>
      </c>
      <c r="B874">
        <v>2858</v>
      </c>
      <c r="C874">
        <v>37</v>
      </c>
      <c r="D874">
        <v>12</v>
      </c>
      <c r="E874">
        <v>83</v>
      </c>
      <c r="F874">
        <v>69</v>
      </c>
      <c r="G874">
        <v>14</v>
      </c>
      <c r="H874">
        <v>21</v>
      </c>
      <c r="I874">
        <v>27</v>
      </c>
      <c r="J874" t="s">
        <v>3747</v>
      </c>
    </row>
    <row r="875" spans="1:10" x14ac:dyDescent="0.2">
      <c r="A875" t="s">
        <v>3045</v>
      </c>
      <c r="B875">
        <v>939</v>
      </c>
      <c r="C875">
        <v>38</v>
      </c>
      <c r="D875">
        <v>11</v>
      </c>
      <c r="E875">
        <v>88</v>
      </c>
      <c r="F875">
        <v>73</v>
      </c>
      <c r="G875">
        <v>29</v>
      </c>
      <c r="H875">
        <v>36</v>
      </c>
      <c r="I875">
        <v>42</v>
      </c>
      <c r="J875" t="s">
        <v>3747</v>
      </c>
    </row>
    <row r="876" spans="1:10" x14ac:dyDescent="0.2">
      <c r="A876" t="s">
        <v>3046</v>
      </c>
      <c r="B876">
        <v>1203</v>
      </c>
      <c r="C876">
        <v>39</v>
      </c>
      <c r="D876">
        <v>10</v>
      </c>
      <c r="E876">
        <v>90</v>
      </c>
      <c r="F876">
        <v>73</v>
      </c>
      <c r="G876">
        <v>25</v>
      </c>
      <c r="H876">
        <v>32</v>
      </c>
      <c r="I876">
        <v>38</v>
      </c>
      <c r="J876" t="s">
        <v>3747</v>
      </c>
    </row>
    <row r="877" spans="1:10" x14ac:dyDescent="0.2">
      <c r="A877" t="s">
        <v>3047</v>
      </c>
      <c r="B877">
        <v>1948</v>
      </c>
      <c r="C877">
        <v>38</v>
      </c>
      <c r="D877">
        <v>5</v>
      </c>
      <c r="E877">
        <v>83</v>
      </c>
      <c r="F877">
        <v>70</v>
      </c>
      <c r="G877">
        <v>19</v>
      </c>
      <c r="H877">
        <v>26</v>
      </c>
      <c r="I877">
        <v>32</v>
      </c>
      <c r="J877" t="s">
        <v>3747</v>
      </c>
    </row>
    <row r="878" spans="1:10" x14ac:dyDescent="0.2">
      <c r="A878" t="s">
        <v>3048</v>
      </c>
      <c r="B878">
        <v>828</v>
      </c>
      <c r="C878">
        <v>38</v>
      </c>
      <c r="D878">
        <v>11</v>
      </c>
      <c r="E878">
        <v>89</v>
      </c>
      <c r="F878">
        <v>73</v>
      </c>
      <c r="G878">
        <v>27</v>
      </c>
      <c r="H878">
        <v>34</v>
      </c>
      <c r="I878">
        <v>40</v>
      </c>
      <c r="J878" t="s">
        <v>3747</v>
      </c>
    </row>
    <row r="879" spans="1:10" x14ac:dyDescent="0.2">
      <c r="A879" t="s">
        <v>3049</v>
      </c>
      <c r="B879">
        <v>556</v>
      </c>
      <c r="C879">
        <v>39</v>
      </c>
      <c r="D879">
        <v>14</v>
      </c>
      <c r="E879">
        <v>91</v>
      </c>
      <c r="F879">
        <v>73</v>
      </c>
      <c r="G879">
        <v>24</v>
      </c>
      <c r="H879">
        <v>33</v>
      </c>
      <c r="I879">
        <v>39</v>
      </c>
      <c r="J879" t="s">
        <v>3747</v>
      </c>
    </row>
    <row r="880" spans="1:10" x14ac:dyDescent="0.2">
      <c r="A880" t="s">
        <v>3050</v>
      </c>
      <c r="B880">
        <v>1247</v>
      </c>
      <c r="C880">
        <v>39</v>
      </c>
      <c r="D880">
        <v>11</v>
      </c>
      <c r="E880">
        <v>87</v>
      </c>
      <c r="F880">
        <v>71</v>
      </c>
      <c r="G880">
        <v>19</v>
      </c>
      <c r="H880">
        <v>26</v>
      </c>
      <c r="I880">
        <v>32</v>
      </c>
      <c r="J880" t="s">
        <v>831</v>
      </c>
    </row>
    <row r="881" spans="1:10" x14ac:dyDescent="0.2">
      <c r="A881" t="s">
        <v>3051</v>
      </c>
      <c r="B881">
        <v>858</v>
      </c>
      <c r="C881">
        <v>39</v>
      </c>
      <c r="D881">
        <v>11</v>
      </c>
      <c r="E881">
        <v>88</v>
      </c>
      <c r="F881">
        <v>72</v>
      </c>
      <c r="G881">
        <v>23</v>
      </c>
      <c r="H881">
        <v>32</v>
      </c>
      <c r="I881">
        <v>38</v>
      </c>
      <c r="J881" t="s">
        <v>3747</v>
      </c>
    </row>
    <row r="882" spans="1:10" x14ac:dyDescent="0.2">
      <c r="A882" t="s">
        <v>3052</v>
      </c>
      <c r="B882">
        <v>1195</v>
      </c>
      <c r="C882">
        <v>40</v>
      </c>
      <c r="D882">
        <v>5</v>
      </c>
      <c r="E882">
        <v>86</v>
      </c>
      <c r="F882">
        <v>71</v>
      </c>
      <c r="G882">
        <v>20</v>
      </c>
      <c r="H882">
        <v>27</v>
      </c>
      <c r="I882">
        <v>33</v>
      </c>
      <c r="J882" t="s">
        <v>3747</v>
      </c>
    </row>
    <row r="883" spans="1:10" x14ac:dyDescent="0.2">
      <c r="A883" t="s">
        <v>3053</v>
      </c>
      <c r="B883">
        <v>918</v>
      </c>
      <c r="C883">
        <v>44</v>
      </c>
      <c r="D883">
        <v>-9</v>
      </c>
      <c r="E883">
        <v>86</v>
      </c>
      <c r="F883">
        <v>72</v>
      </c>
      <c r="G883">
        <v>26</v>
      </c>
      <c r="H883">
        <v>33</v>
      </c>
      <c r="I883">
        <v>39</v>
      </c>
      <c r="J883" t="s">
        <v>3747</v>
      </c>
    </row>
    <row r="884" spans="1:10" x14ac:dyDescent="0.2">
      <c r="A884" t="s">
        <v>3054</v>
      </c>
      <c r="B884">
        <v>826</v>
      </c>
      <c r="C884">
        <v>46</v>
      </c>
      <c r="D884">
        <v>-16</v>
      </c>
      <c r="E884">
        <v>82</v>
      </c>
      <c r="F884">
        <v>68</v>
      </c>
      <c r="G884">
        <v>10</v>
      </c>
      <c r="H884">
        <v>17</v>
      </c>
      <c r="I884">
        <v>23</v>
      </c>
      <c r="J884" t="s">
        <v>3747</v>
      </c>
    </row>
    <row r="885" spans="1:10" x14ac:dyDescent="0.2">
      <c r="A885" t="s">
        <v>3055</v>
      </c>
      <c r="B885">
        <v>817</v>
      </c>
      <c r="C885">
        <v>42</v>
      </c>
      <c r="D885">
        <v>-3</v>
      </c>
      <c r="E885">
        <v>90</v>
      </c>
      <c r="F885">
        <v>75</v>
      </c>
      <c r="G885">
        <v>38</v>
      </c>
      <c r="H885">
        <v>45</v>
      </c>
      <c r="I885">
        <v>51</v>
      </c>
      <c r="J885" t="s">
        <v>3747</v>
      </c>
    </row>
    <row r="886" spans="1:10" x14ac:dyDescent="0.2">
      <c r="A886" t="s">
        <v>3056</v>
      </c>
      <c r="B886">
        <v>907</v>
      </c>
      <c r="C886">
        <v>44</v>
      </c>
      <c r="D886">
        <v>-13</v>
      </c>
      <c r="E886">
        <v>87</v>
      </c>
      <c r="F886">
        <v>71</v>
      </c>
      <c r="G886">
        <v>19</v>
      </c>
      <c r="H886">
        <v>26</v>
      </c>
      <c r="I886">
        <v>32</v>
      </c>
      <c r="J886" t="s">
        <v>3747</v>
      </c>
    </row>
    <row r="887" spans="1:10" x14ac:dyDescent="0.2">
      <c r="A887" t="s">
        <v>3057</v>
      </c>
      <c r="B887">
        <v>809</v>
      </c>
      <c r="C887">
        <v>43</v>
      </c>
      <c r="D887">
        <v>-8</v>
      </c>
      <c r="E887">
        <v>86</v>
      </c>
      <c r="F887">
        <v>72</v>
      </c>
      <c r="G887">
        <v>26</v>
      </c>
      <c r="H887">
        <v>33</v>
      </c>
      <c r="I887">
        <v>39</v>
      </c>
      <c r="J887" t="s">
        <v>3747</v>
      </c>
    </row>
    <row r="888" spans="1:10" x14ac:dyDescent="0.2">
      <c r="A888" t="s">
        <v>3058</v>
      </c>
      <c r="B888">
        <v>682</v>
      </c>
      <c r="C888">
        <v>44</v>
      </c>
      <c r="D888">
        <v>-8</v>
      </c>
      <c r="E888">
        <v>85</v>
      </c>
      <c r="F888">
        <v>72</v>
      </c>
      <c r="G888">
        <v>28</v>
      </c>
      <c r="H888">
        <v>35</v>
      </c>
      <c r="I888">
        <v>41</v>
      </c>
      <c r="J888" t="s">
        <v>3747</v>
      </c>
    </row>
    <row r="889" spans="1:10" x14ac:dyDescent="0.2">
      <c r="A889" t="s">
        <v>3059</v>
      </c>
      <c r="B889">
        <v>651</v>
      </c>
      <c r="C889">
        <v>43</v>
      </c>
      <c r="D889">
        <v>-8</v>
      </c>
      <c r="E889">
        <v>88</v>
      </c>
      <c r="F889">
        <v>73</v>
      </c>
      <c r="G889">
        <v>29</v>
      </c>
      <c r="H889">
        <v>36</v>
      </c>
      <c r="I889">
        <v>42</v>
      </c>
      <c r="J889" t="s">
        <v>3747</v>
      </c>
    </row>
    <row r="890" spans="1:10" x14ac:dyDescent="0.2">
      <c r="A890" t="s">
        <v>2377</v>
      </c>
      <c r="B890">
        <v>858</v>
      </c>
      <c r="C890">
        <v>43</v>
      </c>
      <c r="D890">
        <v>-6</v>
      </c>
      <c r="E890">
        <v>87</v>
      </c>
      <c r="F890">
        <v>72</v>
      </c>
      <c r="G890">
        <v>24</v>
      </c>
      <c r="H890">
        <v>31</v>
      </c>
      <c r="I890">
        <v>37</v>
      </c>
      <c r="J890" t="s">
        <v>3747</v>
      </c>
    </row>
    <row r="891" spans="1:10" x14ac:dyDescent="0.2">
      <c r="A891" t="s">
        <v>2378</v>
      </c>
      <c r="B891">
        <v>651</v>
      </c>
      <c r="C891">
        <v>44</v>
      </c>
      <c r="D891">
        <v>-7</v>
      </c>
      <c r="E891">
        <v>86</v>
      </c>
      <c r="F891">
        <v>72</v>
      </c>
      <c r="G891">
        <v>26</v>
      </c>
      <c r="H891">
        <v>33</v>
      </c>
      <c r="I891">
        <v>39</v>
      </c>
      <c r="J891" t="s">
        <v>3747</v>
      </c>
    </row>
    <row r="892" spans="1:10" x14ac:dyDescent="0.2">
      <c r="A892" t="s">
        <v>2379</v>
      </c>
      <c r="B892">
        <v>703</v>
      </c>
      <c r="C892">
        <v>45</v>
      </c>
      <c r="D892">
        <v>-11</v>
      </c>
      <c r="E892">
        <v>84</v>
      </c>
      <c r="F892">
        <v>71</v>
      </c>
      <c r="G892">
        <v>23</v>
      </c>
      <c r="H892">
        <v>30</v>
      </c>
      <c r="I892">
        <v>36</v>
      </c>
      <c r="J892" t="s">
        <v>3747</v>
      </c>
    </row>
    <row r="893" spans="1:10" x14ac:dyDescent="0.2">
      <c r="A893" t="s">
        <v>2380</v>
      </c>
      <c r="B893">
        <v>723</v>
      </c>
      <c r="C893">
        <v>43</v>
      </c>
      <c r="D893">
        <v>-2</v>
      </c>
      <c r="E893">
        <v>86</v>
      </c>
      <c r="F893">
        <v>72</v>
      </c>
      <c r="G893">
        <v>26</v>
      </c>
      <c r="H893">
        <v>33</v>
      </c>
      <c r="I893">
        <v>39</v>
      </c>
      <c r="J893" t="s">
        <v>3747</v>
      </c>
    </row>
    <row r="894" spans="1:10" x14ac:dyDescent="0.2">
      <c r="A894" t="s">
        <v>2381</v>
      </c>
      <c r="B894">
        <v>674</v>
      </c>
      <c r="C894">
        <v>42</v>
      </c>
      <c r="D894">
        <v>-2</v>
      </c>
      <c r="E894">
        <v>88</v>
      </c>
      <c r="F894">
        <v>73</v>
      </c>
      <c r="G894">
        <v>29</v>
      </c>
      <c r="H894">
        <v>36</v>
      </c>
      <c r="I894">
        <v>42</v>
      </c>
      <c r="J894" t="s">
        <v>3747</v>
      </c>
    </row>
    <row r="895" spans="1:10" x14ac:dyDescent="0.2">
      <c r="A895" t="s">
        <v>2382</v>
      </c>
      <c r="B895">
        <v>749</v>
      </c>
      <c r="C895">
        <v>43</v>
      </c>
      <c r="D895">
        <v>-6</v>
      </c>
      <c r="E895">
        <v>86</v>
      </c>
      <c r="F895">
        <v>73</v>
      </c>
      <c r="G895">
        <v>32</v>
      </c>
      <c r="H895">
        <v>39</v>
      </c>
      <c r="I895">
        <v>45</v>
      </c>
      <c r="J895" t="s">
        <v>3747</v>
      </c>
    </row>
    <row r="896" spans="1:10" x14ac:dyDescent="0.2">
      <c r="A896" t="s">
        <v>2383</v>
      </c>
      <c r="B896">
        <v>1110</v>
      </c>
      <c r="C896">
        <v>43</v>
      </c>
      <c r="D896">
        <v>-11</v>
      </c>
      <c r="E896">
        <v>89</v>
      </c>
      <c r="F896">
        <v>73</v>
      </c>
      <c r="G896">
        <v>27</v>
      </c>
      <c r="H896">
        <v>34</v>
      </c>
      <c r="I896">
        <v>40</v>
      </c>
      <c r="J896" t="s">
        <v>3747</v>
      </c>
    </row>
    <row r="897" spans="1:10" x14ac:dyDescent="0.2">
      <c r="A897" t="s">
        <v>2384</v>
      </c>
      <c r="B897">
        <v>911</v>
      </c>
      <c r="C897">
        <v>43</v>
      </c>
      <c r="D897">
        <v>-5</v>
      </c>
      <c r="E897">
        <v>87</v>
      </c>
      <c r="F897">
        <v>73</v>
      </c>
      <c r="G897">
        <v>33</v>
      </c>
      <c r="H897">
        <v>40</v>
      </c>
      <c r="I897">
        <v>46</v>
      </c>
      <c r="J897" t="s">
        <v>3747</v>
      </c>
    </row>
    <row r="898" spans="1:10" x14ac:dyDescent="0.2">
      <c r="A898" t="s">
        <v>2385</v>
      </c>
      <c r="B898">
        <v>1201</v>
      </c>
      <c r="C898">
        <v>44</v>
      </c>
      <c r="D898">
        <v>-9</v>
      </c>
      <c r="E898">
        <v>85</v>
      </c>
      <c r="F898">
        <v>70</v>
      </c>
      <c r="G898">
        <v>16</v>
      </c>
      <c r="H898">
        <v>23</v>
      </c>
      <c r="I898">
        <v>29</v>
      </c>
      <c r="J898" t="s">
        <v>3747</v>
      </c>
    </row>
    <row r="899" spans="1:10" x14ac:dyDescent="0.2">
      <c r="A899" t="s">
        <v>2386</v>
      </c>
      <c r="B899">
        <v>6990</v>
      </c>
      <c r="C899">
        <v>42</v>
      </c>
      <c r="D899">
        <v>-15</v>
      </c>
      <c r="E899">
        <v>80</v>
      </c>
      <c r="F899">
        <v>53</v>
      </c>
      <c r="G899">
        <v>-58</v>
      </c>
      <c r="H899">
        <v>-51</v>
      </c>
      <c r="I899">
        <v>-45</v>
      </c>
      <c r="J899" t="s">
        <v>831</v>
      </c>
    </row>
    <row r="900" spans="1:10" x14ac:dyDescent="0.2">
      <c r="A900" t="s">
        <v>2387</v>
      </c>
      <c r="B900">
        <v>5348</v>
      </c>
      <c r="C900">
        <v>42</v>
      </c>
      <c r="D900">
        <v>-5</v>
      </c>
      <c r="E900">
        <v>89</v>
      </c>
      <c r="F900">
        <v>58</v>
      </c>
      <c r="G900">
        <v>-49</v>
      </c>
      <c r="H900">
        <v>-42</v>
      </c>
      <c r="I900">
        <v>-36</v>
      </c>
      <c r="J900" t="s">
        <v>831</v>
      </c>
    </row>
    <row r="901" spans="1:10" x14ac:dyDescent="0.2">
      <c r="A901" t="s">
        <v>2388</v>
      </c>
      <c r="B901">
        <v>6156</v>
      </c>
      <c r="C901">
        <v>41</v>
      </c>
      <c r="D901">
        <v>0</v>
      </c>
      <c r="E901">
        <v>85</v>
      </c>
      <c r="F901">
        <v>57</v>
      </c>
      <c r="G901">
        <v>-47</v>
      </c>
      <c r="H901">
        <v>-40</v>
      </c>
      <c r="I901">
        <v>-34</v>
      </c>
      <c r="J901" t="s">
        <v>831</v>
      </c>
    </row>
    <row r="902" spans="1:10" x14ac:dyDescent="0.2">
      <c r="A902" t="s">
        <v>2389</v>
      </c>
      <c r="B902">
        <v>5098</v>
      </c>
      <c r="C902">
        <v>44</v>
      </c>
      <c r="D902">
        <v>-7</v>
      </c>
      <c r="E902">
        <v>87</v>
      </c>
      <c r="F902">
        <v>58</v>
      </c>
      <c r="G902">
        <v>-45</v>
      </c>
      <c r="H902">
        <v>-38</v>
      </c>
      <c r="I902">
        <v>-32</v>
      </c>
      <c r="J902" t="s">
        <v>831</v>
      </c>
    </row>
    <row r="903" spans="1:10" x14ac:dyDescent="0.2">
      <c r="A903" t="s">
        <v>2390</v>
      </c>
      <c r="B903">
        <v>7163</v>
      </c>
      <c r="C903">
        <v>41</v>
      </c>
      <c r="D903">
        <v>-3</v>
      </c>
      <c r="E903">
        <v>84</v>
      </c>
      <c r="F903">
        <v>55</v>
      </c>
      <c r="G903">
        <v>-55</v>
      </c>
      <c r="H903">
        <v>-48</v>
      </c>
      <c r="I903">
        <v>-42</v>
      </c>
      <c r="J903" t="s">
        <v>831</v>
      </c>
    </row>
    <row r="904" spans="1:10" x14ac:dyDescent="0.2">
      <c r="A904" t="s">
        <v>2391</v>
      </c>
      <c r="B904">
        <v>4363</v>
      </c>
      <c r="C904">
        <v>44</v>
      </c>
      <c r="D904">
        <v>-7</v>
      </c>
      <c r="E904">
        <v>91</v>
      </c>
      <c r="F904">
        <v>61</v>
      </c>
      <c r="G904">
        <v>-38</v>
      </c>
      <c r="H904">
        <v>-31</v>
      </c>
      <c r="I904">
        <v>-25</v>
      </c>
      <c r="J904" t="s">
        <v>831</v>
      </c>
    </row>
    <row r="905" spans="1:10" x14ac:dyDescent="0.2">
      <c r="A905" t="s">
        <v>2392</v>
      </c>
      <c r="B905">
        <v>5586</v>
      </c>
      <c r="C905">
        <v>42</v>
      </c>
      <c r="D905">
        <v>-7</v>
      </c>
      <c r="E905">
        <v>87</v>
      </c>
      <c r="F905">
        <v>58</v>
      </c>
      <c r="G905">
        <v>-46</v>
      </c>
      <c r="H905">
        <v>-39</v>
      </c>
      <c r="I905">
        <v>-33</v>
      </c>
      <c r="J905" t="s">
        <v>831</v>
      </c>
    </row>
    <row r="906" spans="1:10" x14ac:dyDescent="0.2">
      <c r="A906" t="s">
        <v>2393</v>
      </c>
      <c r="B906">
        <v>7278</v>
      </c>
      <c r="C906">
        <v>41</v>
      </c>
      <c r="D906">
        <v>-6</v>
      </c>
      <c r="E906">
        <v>81</v>
      </c>
      <c r="F906">
        <v>56</v>
      </c>
      <c r="G906">
        <v>-46</v>
      </c>
      <c r="H906">
        <v>-39</v>
      </c>
      <c r="I906">
        <v>-33</v>
      </c>
      <c r="J906" t="s">
        <v>831</v>
      </c>
    </row>
    <row r="907" spans="1:10" x14ac:dyDescent="0.2">
      <c r="A907" t="s">
        <v>2394</v>
      </c>
      <c r="B907">
        <v>4174</v>
      </c>
      <c r="C907">
        <v>43</v>
      </c>
      <c r="D907">
        <v>-12</v>
      </c>
      <c r="E907">
        <v>87</v>
      </c>
      <c r="F907">
        <v>63</v>
      </c>
      <c r="G907">
        <v>-21</v>
      </c>
      <c r="H907">
        <v>-14</v>
      </c>
      <c r="I907">
        <v>-8</v>
      </c>
      <c r="J907" t="s">
        <v>831</v>
      </c>
    </row>
    <row r="908" spans="1:10" x14ac:dyDescent="0.2">
      <c r="A908" t="s">
        <v>2395</v>
      </c>
      <c r="B908">
        <v>6813</v>
      </c>
      <c r="C908">
        <v>41</v>
      </c>
      <c r="D908">
        <v>-4</v>
      </c>
      <c r="E908">
        <v>83</v>
      </c>
      <c r="F908">
        <v>57</v>
      </c>
      <c r="G908">
        <v>-44</v>
      </c>
      <c r="H908">
        <v>-37</v>
      </c>
      <c r="I908">
        <v>-31</v>
      </c>
      <c r="J908" t="s">
        <v>831</v>
      </c>
    </row>
    <row r="909" spans="1:10" x14ac:dyDescent="0.2">
      <c r="A909" t="s">
        <v>2396</v>
      </c>
      <c r="B909">
        <v>6760</v>
      </c>
      <c r="C909">
        <v>41</v>
      </c>
      <c r="D909">
        <v>-2</v>
      </c>
      <c r="E909">
        <v>84</v>
      </c>
      <c r="F909">
        <v>54</v>
      </c>
      <c r="G909">
        <v>-60</v>
      </c>
      <c r="H909">
        <v>-53</v>
      </c>
      <c r="I909">
        <v>-47</v>
      </c>
      <c r="J909" t="s">
        <v>831</v>
      </c>
    </row>
    <row r="910" spans="1:10" x14ac:dyDescent="0.2">
      <c r="A910" t="s">
        <v>2397</v>
      </c>
      <c r="B910">
        <v>4024</v>
      </c>
      <c r="C910">
        <v>44</v>
      </c>
      <c r="D910">
        <v>-8</v>
      </c>
      <c r="E910">
        <v>90</v>
      </c>
      <c r="F910">
        <v>61</v>
      </c>
      <c r="G910">
        <v>-36</v>
      </c>
      <c r="H910">
        <v>-29</v>
      </c>
      <c r="I910">
        <v>-23</v>
      </c>
      <c r="J910" t="s">
        <v>831</v>
      </c>
    </row>
    <row r="911" spans="1:10" x14ac:dyDescent="0.2">
      <c r="A911" t="s">
        <v>2398</v>
      </c>
      <c r="B911">
        <v>4205</v>
      </c>
      <c r="C911">
        <v>42</v>
      </c>
      <c r="D911">
        <v>-8</v>
      </c>
      <c r="E911">
        <v>91</v>
      </c>
      <c r="F911">
        <v>62</v>
      </c>
      <c r="G911">
        <v>-32</v>
      </c>
      <c r="H911">
        <v>-25</v>
      </c>
      <c r="I911">
        <v>-19</v>
      </c>
      <c r="J911" t="s">
        <v>831</v>
      </c>
    </row>
    <row r="912" spans="1:10" x14ac:dyDescent="0.2">
      <c r="A912" t="s">
        <v>2399</v>
      </c>
      <c r="B912">
        <v>4227</v>
      </c>
      <c r="C912">
        <v>43</v>
      </c>
      <c r="D912">
        <v>-13</v>
      </c>
      <c r="E912">
        <v>93</v>
      </c>
      <c r="F912">
        <v>63</v>
      </c>
      <c r="G912">
        <v>-30</v>
      </c>
      <c r="H912">
        <v>-23</v>
      </c>
      <c r="I912">
        <v>-17</v>
      </c>
      <c r="J912" t="s">
        <v>831</v>
      </c>
    </row>
  </sheetData>
  <phoneticPr fontId="2" type="noConversion"/>
  <pageMargins left="0.75" right="0.75" top="1" bottom="1" header="0.5" footer="0.5"/>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40">
    <tabColor indexed="15"/>
  </sheetPr>
  <dimension ref="B1:AN25"/>
  <sheetViews>
    <sheetView showRowColHeaders="0" workbookViewId="0">
      <selection activeCell="K4" sqref="K4:N4"/>
    </sheetView>
  </sheetViews>
  <sheetFormatPr defaultColWidth="2.7109375" defaultRowHeight="12.95" customHeight="1" x14ac:dyDescent="0.2"/>
  <cols>
    <col min="1" max="16384" width="2.7109375" style="1016"/>
  </cols>
  <sheetData>
    <row r="1" spans="2:18" ht="12.95" customHeight="1" thickBot="1" x14ac:dyDescent="0.25"/>
    <row r="2" spans="2:18" ht="12.95" customHeight="1" thickBot="1" x14ac:dyDescent="0.25">
      <c r="B2" s="1533" t="s">
        <v>1191</v>
      </c>
      <c r="C2" s="1534"/>
      <c r="D2" s="1534"/>
      <c r="E2" s="1534"/>
      <c r="F2" s="1534"/>
      <c r="G2" s="1534"/>
      <c r="H2" s="1534"/>
      <c r="I2" s="1534"/>
      <c r="J2" s="1534"/>
      <c r="K2" s="1534"/>
      <c r="L2" s="1534"/>
      <c r="M2" s="1534"/>
      <c r="N2" s="1535"/>
    </row>
    <row r="3" spans="2:18" ht="12.95" customHeight="1" x14ac:dyDescent="0.2">
      <c r="B3" s="1902" t="s">
        <v>4151</v>
      </c>
      <c r="C3" s="1544"/>
      <c r="D3" s="1544"/>
      <c r="E3" s="1544"/>
      <c r="F3" s="1544" t="s">
        <v>1177</v>
      </c>
      <c r="G3" s="1544"/>
      <c r="H3" s="1544"/>
      <c r="I3" s="1544"/>
      <c r="J3" s="1544"/>
      <c r="K3" s="1544" t="s">
        <v>4152</v>
      </c>
      <c r="L3" s="1544"/>
      <c r="M3" s="1544"/>
      <c r="N3" s="1545"/>
    </row>
    <row r="4" spans="2:18" ht="12.95" customHeight="1" thickBot="1" x14ac:dyDescent="0.25">
      <c r="B4" s="1530" t="s">
        <v>453</v>
      </c>
      <c r="C4" s="1531"/>
      <c r="D4" s="1531"/>
      <c r="E4" s="1532"/>
      <c r="F4" s="1540" t="s">
        <v>454</v>
      </c>
      <c r="G4" s="1531"/>
      <c r="H4" s="1531"/>
      <c r="I4" s="1531"/>
      <c r="J4" s="1532"/>
      <c r="K4" s="1540" t="s">
        <v>1302</v>
      </c>
      <c r="L4" s="1531"/>
      <c r="M4" s="1531"/>
      <c r="N4" s="1929"/>
    </row>
    <row r="5" spans="2:18" ht="12.95" customHeight="1" thickBot="1" x14ac:dyDescent="0.25"/>
    <row r="6" spans="2:18" ht="12.95" customHeight="1" thickBot="1" x14ac:dyDescent="0.25">
      <c r="B6" s="1533" t="s">
        <v>3667</v>
      </c>
      <c r="C6" s="1534"/>
      <c r="D6" s="1534"/>
      <c r="E6" s="1534"/>
      <c r="F6" s="1534"/>
      <c r="G6" s="1534"/>
      <c r="H6" s="1534"/>
      <c r="I6" s="1534"/>
      <c r="J6" s="1534"/>
      <c r="K6" s="1534"/>
      <c r="L6" s="1534"/>
      <c r="M6" s="1534"/>
      <c r="N6" s="1534"/>
      <c r="O6" s="1534"/>
      <c r="P6" s="1534"/>
      <c r="Q6" s="1534"/>
      <c r="R6" s="1535"/>
    </row>
    <row r="7" spans="2:18" ht="12.95" customHeight="1" x14ac:dyDescent="0.2">
      <c r="B7" s="1928" t="s">
        <v>3666</v>
      </c>
      <c r="C7" s="1890"/>
      <c r="D7" s="1890"/>
      <c r="E7" s="1890"/>
      <c r="F7" s="1890"/>
      <c r="G7" s="1890"/>
      <c r="H7" s="1890"/>
      <c r="I7" s="1890"/>
      <c r="J7" s="1890"/>
      <c r="K7" s="1890"/>
      <c r="L7" s="1890"/>
      <c r="M7" s="1890"/>
      <c r="N7" s="1890"/>
      <c r="O7" s="1890"/>
      <c r="P7" s="1890"/>
      <c r="Q7" s="1890" t="s">
        <v>164</v>
      </c>
      <c r="R7" s="1893"/>
    </row>
    <row r="8" spans="2:18" ht="12.95" customHeight="1" x14ac:dyDescent="0.2">
      <c r="B8" s="1866"/>
      <c r="C8" s="1867"/>
      <c r="D8" s="1867"/>
      <c r="E8" s="1867"/>
      <c r="F8" s="1867"/>
      <c r="G8" s="1867"/>
      <c r="H8" s="1867"/>
      <c r="I8" s="1867"/>
      <c r="J8" s="1867"/>
      <c r="K8" s="1867"/>
      <c r="L8" s="1867"/>
      <c r="M8" s="1867"/>
      <c r="N8" s="1867"/>
      <c r="O8" s="1867"/>
      <c r="P8" s="1867"/>
      <c r="Q8" s="1803"/>
      <c r="R8" s="1870"/>
    </row>
    <row r="9" spans="2:18" ht="12.95" customHeight="1" x14ac:dyDescent="0.2">
      <c r="B9" s="1866"/>
      <c r="C9" s="1867"/>
      <c r="D9" s="1867"/>
      <c r="E9" s="1867"/>
      <c r="F9" s="1867"/>
      <c r="G9" s="1867"/>
      <c r="H9" s="1867"/>
      <c r="I9" s="1867"/>
      <c r="J9" s="1867"/>
      <c r="K9" s="1867"/>
      <c r="L9" s="1867"/>
      <c r="M9" s="1867"/>
      <c r="N9" s="1867"/>
      <c r="O9" s="1867"/>
      <c r="P9" s="1867"/>
      <c r="Q9" s="1803"/>
      <c r="R9" s="1870"/>
    </row>
    <row r="10" spans="2:18" ht="12.95" customHeight="1" x14ac:dyDescent="0.2">
      <c r="B10" s="1866"/>
      <c r="C10" s="1867"/>
      <c r="D10" s="1867"/>
      <c r="E10" s="1867"/>
      <c r="F10" s="1867"/>
      <c r="G10" s="1867"/>
      <c r="H10" s="1867"/>
      <c r="I10" s="1867"/>
      <c r="J10" s="1867"/>
      <c r="K10" s="1867"/>
      <c r="L10" s="1867"/>
      <c r="M10" s="1867"/>
      <c r="N10" s="1867"/>
      <c r="O10" s="1867"/>
      <c r="P10" s="1867"/>
      <c r="Q10" s="1803"/>
      <c r="R10" s="1870"/>
    </row>
    <row r="11" spans="2:18" ht="12.95" customHeight="1" x14ac:dyDescent="0.2">
      <c r="B11" s="1866"/>
      <c r="C11" s="1867"/>
      <c r="D11" s="1867"/>
      <c r="E11" s="1867"/>
      <c r="F11" s="1867"/>
      <c r="G11" s="1867"/>
      <c r="H11" s="1867"/>
      <c r="I11" s="1867"/>
      <c r="J11" s="1867"/>
      <c r="K11" s="1867"/>
      <c r="L11" s="1867"/>
      <c r="M11" s="1867"/>
      <c r="N11" s="1867"/>
      <c r="O11" s="1867"/>
      <c r="P11" s="1867"/>
      <c r="Q11" s="1803"/>
      <c r="R11" s="1870"/>
    </row>
    <row r="12" spans="2:18" ht="12.95" customHeight="1" thickBot="1" x14ac:dyDescent="0.25">
      <c r="B12" s="1938"/>
      <c r="C12" s="1939"/>
      <c r="D12" s="1939"/>
      <c r="E12" s="1939"/>
      <c r="F12" s="1939"/>
      <c r="G12" s="1939"/>
      <c r="H12" s="1939"/>
      <c r="I12" s="1939"/>
      <c r="J12" s="1939"/>
      <c r="K12" s="1939"/>
      <c r="L12" s="1939"/>
      <c r="M12" s="1939"/>
      <c r="N12" s="1939"/>
      <c r="O12" s="1939"/>
      <c r="P12" s="1939"/>
      <c r="Q12" s="1884"/>
      <c r="R12" s="1885"/>
    </row>
    <row r="13" spans="2:18" ht="12.95" customHeight="1" x14ac:dyDescent="0.2">
      <c r="B13" s="1928" t="s">
        <v>3666</v>
      </c>
      <c r="C13" s="1890"/>
      <c r="D13" s="1890"/>
      <c r="E13" s="1890"/>
      <c r="F13" s="1890"/>
      <c r="G13" s="1890"/>
      <c r="H13" s="1890"/>
      <c r="I13" s="1890"/>
      <c r="J13" s="1890"/>
      <c r="K13" s="1890"/>
      <c r="L13" s="1890"/>
      <c r="M13" s="1890"/>
      <c r="N13" s="1890"/>
      <c r="O13" s="1890"/>
      <c r="P13" s="1890"/>
      <c r="Q13" s="1890" t="s">
        <v>3670</v>
      </c>
      <c r="R13" s="1893"/>
    </row>
    <row r="14" spans="2:18" ht="12.95" customHeight="1" thickBot="1" x14ac:dyDescent="0.25">
      <c r="B14" s="1933"/>
      <c r="C14" s="1934"/>
      <c r="D14" s="1934"/>
      <c r="E14" s="1934"/>
      <c r="F14" s="1934"/>
      <c r="G14" s="1934"/>
      <c r="H14" s="1934"/>
      <c r="I14" s="1934"/>
      <c r="J14" s="1934"/>
      <c r="K14" s="1934"/>
      <c r="L14" s="1934"/>
      <c r="M14" s="1934"/>
      <c r="N14" s="1934"/>
      <c r="O14" s="1934"/>
      <c r="P14" s="1934"/>
      <c r="Q14" s="1884"/>
      <c r="R14" s="1885"/>
    </row>
    <row r="15" spans="2:18" ht="12.95" customHeight="1" thickBot="1" x14ac:dyDescent="0.25">
      <c r="B15" s="1930" t="s">
        <v>3676</v>
      </c>
      <c r="C15" s="1931"/>
      <c r="D15" s="1931"/>
      <c r="E15" s="1931"/>
      <c r="F15" s="1931"/>
      <c r="G15" s="1931"/>
      <c r="H15" s="1931"/>
      <c r="I15" s="1931"/>
      <c r="J15" s="1931"/>
      <c r="K15" s="1931"/>
      <c r="L15" s="1931"/>
      <c r="M15" s="1931"/>
      <c r="N15" s="1931"/>
      <c r="O15" s="1931"/>
      <c r="P15" s="1931"/>
      <c r="Q15" s="1931"/>
      <c r="R15" s="1932"/>
    </row>
    <row r="16" spans="2:18" ht="12.95" customHeight="1" thickBot="1" x14ac:dyDescent="0.25"/>
    <row r="17" spans="2:40" ht="12.95" customHeight="1" thickBot="1" x14ac:dyDescent="0.25">
      <c r="B17" s="1533" t="s">
        <v>3674</v>
      </c>
      <c r="C17" s="1534"/>
      <c r="D17" s="1534"/>
      <c r="E17" s="1534"/>
      <c r="F17" s="1534"/>
      <c r="G17" s="1534"/>
      <c r="H17" s="1534"/>
      <c r="I17" s="1534"/>
      <c r="J17" s="1534"/>
      <c r="K17" s="1534"/>
      <c r="L17" s="1534"/>
      <c r="M17" s="1534"/>
      <c r="N17" s="1534"/>
      <c r="O17" s="1534"/>
      <c r="P17" s="1534"/>
      <c r="Q17" s="1534"/>
      <c r="R17" s="1534"/>
      <c r="S17" s="1534"/>
      <c r="T17" s="1534"/>
      <c r="U17" s="1534"/>
      <c r="V17" s="1534"/>
      <c r="W17" s="1534"/>
      <c r="X17" s="1534"/>
      <c r="Y17" s="1534"/>
      <c r="Z17" s="1534"/>
      <c r="AA17" s="1534"/>
      <c r="AB17" s="1534"/>
      <c r="AC17" s="1534"/>
      <c r="AD17" s="1534"/>
      <c r="AE17" s="1534"/>
      <c r="AF17" s="1534"/>
      <c r="AG17" s="1534"/>
      <c r="AH17" s="1534"/>
      <c r="AI17" s="1534"/>
      <c r="AJ17" s="1534"/>
      <c r="AK17" s="1534"/>
      <c r="AL17" s="1534"/>
      <c r="AM17" s="1534"/>
      <c r="AN17" s="1535"/>
    </row>
    <row r="18" spans="2:40" ht="12.95" customHeight="1" x14ac:dyDescent="0.2">
      <c r="B18" s="1937" t="s">
        <v>3666</v>
      </c>
      <c r="C18" s="1524"/>
      <c r="D18" s="1524"/>
      <c r="E18" s="1524"/>
      <c r="F18" s="1524"/>
      <c r="G18" s="1524"/>
      <c r="H18" s="1524"/>
      <c r="I18" s="1524"/>
      <c r="J18" s="1524"/>
      <c r="K18" s="1524"/>
      <c r="L18" s="1524"/>
      <c r="M18" s="1524"/>
      <c r="N18" s="1524"/>
      <c r="O18" s="1524"/>
      <c r="P18" s="1524"/>
      <c r="Q18" s="1524"/>
      <c r="R18" s="1524"/>
      <c r="S18" s="1524"/>
      <c r="T18" s="1524"/>
      <c r="U18" s="1524"/>
      <c r="V18" s="1524"/>
      <c r="W18" s="1524"/>
      <c r="X18" s="1524"/>
      <c r="Y18" s="1524"/>
      <c r="Z18" s="1524"/>
      <c r="AA18" s="1524"/>
      <c r="AB18" s="1524"/>
      <c r="AC18" s="1524"/>
      <c r="AD18" s="1524"/>
      <c r="AE18" s="1524"/>
      <c r="AF18" s="1524"/>
      <c r="AG18" s="1524"/>
      <c r="AH18" s="1524"/>
      <c r="AI18" s="1524"/>
      <c r="AJ18" s="1525"/>
      <c r="AK18" s="1544" t="s">
        <v>164</v>
      </c>
      <c r="AL18" s="1544"/>
      <c r="AM18" s="1544" t="s">
        <v>456</v>
      </c>
      <c r="AN18" s="1545"/>
    </row>
    <row r="19" spans="2:40" ht="12.95" customHeight="1" x14ac:dyDescent="0.2">
      <c r="B19" s="1519"/>
      <c r="C19" s="1459"/>
      <c r="D19" s="1459"/>
      <c r="E19" s="1459"/>
      <c r="F19" s="1459"/>
      <c r="G19" s="1459"/>
      <c r="H19" s="1459"/>
      <c r="I19" s="1459"/>
      <c r="J19" s="1459"/>
      <c r="K19" s="1459"/>
      <c r="L19" s="1459"/>
      <c r="M19" s="1459"/>
      <c r="N19" s="1459"/>
      <c r="O19" s="1459"/>
      <c r="P19" s="1459"/>
      <c r="Q19" s="1459"/>
      <c r="R19" s="1459"/>
      <c r="S19" s="1459"/>
      <c r="T19" s="1459"/>
      <c r="U19" s="1459"/>
      <c r="V19" s="1459"/>
      <c r="W19" s="1459"/>
      <c r="X19" s="1459"/>
      <c r="Y19" s="1459"/>
      <c r="Z19" s="1459"/>
      <c r="AA19" s="1459"/>
      <c r="AB19" s="1459"/>
      <c r="AC19" s="1459"/>
      <c r="AD19" s="1459"/>
      <c r="AE19" s="1459"/>
      <c r="AF19" s="1459"/>
      <c r="AG19" s="1459"/>
      <c r="AH19" s="1459"/>
      <c r="AI19" s="1459"/>
      <c r="AJ19" s="1460"/>
      <c r="AK19" s="1803"/>
      <c r="AL19" s="1803"/>
      <c r="AM19" s="1935"/>
      <c r="AN19" s="1936"/>
    </row>
    <row r="20" spans="2:40" ht="12.95" customHeight="1" x14ac:dyDescent="0.2">
      <c r="B20" s="1519"/>
      <c r="C20" s="1459"/>
      <c r="D20" s="1459"/>
      <c r="E20" s="1459"/>
      <c r="F20" s="1459"/>
      <c r="G20" s="1459"/>
      <c r="H20" s="1459"/>
      <c r="I20" s="1459"/>
      <c r="J20" s="1459"/>
      <c r="K20" s="1459"/>
      <c r="L20" s="1459"/>
      <c r="M20" s="1459"/>
      <c r="N20" s="1459"/>
      <c r="O20" s="1459"/>
      <c r="P20" s="1459"/>
      <c r="Q20" s="1459"/>
      <c r="R20" s="1459"/>
      <c r="S20" s="1459"/>
      <c r="T20" s="1459"/>
      <c r="U20" s="1459"/>
      <c r="V20" s="1459"/>
      <c r="W20" s="1459"/>
      <c r="X20" s="1459"/>
      <c r="Y20" s="1459"/>
      <c r="Z20" s="1459"/>
      <c r="AA20" s="1459"/>
      <c r="AB20" s="1459"/>
      <c r="AC20" s="1459"/>
      <c r="AD20" s="1459"/>
      <c r="AE20" s="1459"/>
      <c r="AF20" s="1459"/>
      <c r="AG20" s="1459"/>
      <c r="AH20" s="1459"/>
      <c r="AI20" s="1459"/>
      <c r="AJ20" s="1460"/>
      <c r="AK20" s="1803"/>
      <c r="AL20" s="1803"/>
      <c r="AM20" s="1935"/>
      <c r="AN20" s="1936"/>
    </row>
    <row r="21" spans="2:40" ht="12.95" customHeight="1" x14ac:dyDescent="0.2">
      <c r="B21" s="1519"/>
      <c r="C21" s="1459"/>
      <c r="D21" s="1459"/>
      <c r="E21" s="1459"/>
      <c r="F21" s="1459"/>
      <c r="G21" s="1459"/>
      <c r="H21" s="1459"/>
      <c r="I21" s="1459"/>
      <c r="J21" s="1459"/>
      <c r="K21" s="1459"/>
      <c r="L21" s="1459"/>
      <c r="M21" s="1459"/>
      <c r="N21" s="1459"/>
      <c r="O21" s="1459"/>
      <c r="P21" s="1459"/>
      <c r="Q21" s="1459"/>
      <c r="R21" s="1459"/>
      <c r="S21" s="1459"/>
      <c r="T21" s="1459"/>
      <c r="U21" s="1459"/>
      <c r="V21" s="1459"/>
      <c r="W21" s="1459"/>
      <c r="X21" s="1459"/>
      <c r="Y21" s="1459"/>
      <c r="Z21" s="1459"/>
      <c r="AA21" s="1459"/>
      <c r="AB21" s="1459"/>
      <c r="AC21" s="1459"/>
      <c r="AD21" s="1459"/>
      <c r="AE21" s="1459"/>
      <c r="AF21" s="1459"/>
      <c r="AG21" s="1459"/>
      <c r="AH21" s="1459"/>
      <c r="AI21" s="1459"/>
      <c r="AJ21" s="1460"/>
      <c r="AK21" s="1803"/>
      <c r="AL21" s="1803"/>
      <c r="AM21" s="1935"/>
      <c r="AN21" s="1936"/>
    </row>
    <row r="22" spans="2:40" ht="12.95" customHeight="1" x14ac:dyDescent="0.2">
      <c r="B22" s="1519"/>
      <c r="C22" s="1459"/>
      <c r="D22" s="1459"/>
      <c r="E22" s="1459"/>
      <c r="F22" s="1459"/>
      <c r="G22" s="1459"/>
      <c r="H22" s="1459"/>
      <c r="I22" s="1459"/>
      <c r="J22" s="1459"/>
      <c r="K22" s="1459"/>
      <c r="L22" s="1459"/>
      <c r="M22" s="1459"/>
      <c r="N22" s="1459"/>
      <c r="O22" s="1459"/>
      <c r="P22" s="1459"/>
      <c r="Q22" s="1459"/>
      <c r="R22" s="1459"/>
      <c r="S22" s="1459"/>
      <c r="T22" s="1459"/>
      <c r="U22" s="1459"/>
      <c r="V22" s="1459"/>
      <c r="W22" s="1459"/>
      <c r="X22" s="1459"/>
      <c r="Y22" s="1459"/>
      <c r="Z22" s="1459"/>
      <c r="AA22" s="1459"/>
      <c r="AB22" s="1459"/>
      <c r="AC22" s="1459"/>
      <c r="AD22" s="1459"/>
      <c r="AE22" s="1459"/>
      <c r="AF22" s="1459"/>
      <c r="AG22" s="1459"/>
      <c r="AH22" s="1459"/>
      <c r="AI22" s="1459"/>
      <c r="AJ22" s="1460"/>
      <c r="AK22" s="1803"/>
      <c r="AL22" s="1803"/>
      <c r="AM22" s="1935"/>
      <c r="AN22" s="1936"/>
    </row>
    <row r="23" spans="2:40" ht="12.95" customHeight="1" thickBot="1" x14ac:dyDescent="0.25">
      <c r="B23" s="1857"/>
      <c r="C23" s="1858"/>
      <c r="D23" s="1858"/>
      <c r="E23" s="1858"/>
      <c r="F23" s="1858"/>
      <c r="G23" s="1858"/>
      <c r="H23" s="1858"/>
      <c r="I23" s="1858"/>
      <c r="J23" s="1858"/>
      <c r="K23" s="1858"/>
      <c r="L23" s="1858"/>
      <c r="M23" s="1858"/>
      <c r="N23" s="1858"/>
      <c r="O23" s="1858"/>
      <c r="P23" s="1858"/>
      <c r="Q23" s="1858"/>
      <c r="R23" s="1858"/>
      <c r="S23" s="1858"/>
      <c r="T23" s="1858"/>
      <c r="U23" s="1858"/>
      <c r="V23" s="1858"/>
      <c r="W23" s="1858"/>
      <c r="X23" s="1858"/>
      <c r="Y23" s="1858"/>
      <c r="Z23" s="1858"/>
      <c r="AA23" s="1858"/>
      <c r="AB23" s="1858"/>
      <c r="AC23" s="1858"/>
      <c r="AD23" s="1858"/>
      <c r="AE23" s="1858"/>
      <c r="AF23" s="1858"/>
      <c r="AG23" s="1858"/>
      <c r="AH23" s="1858"/>
      <c r="AI23" s="1858"/>
      <c r="AJ23" s="1859"/>
      <c r="AK23" s="1848"/>
      <c r="AL23" s="1848"/>
      <c r="AM23" s="1942"/>
      <c r="AN23" s="1943"/>
    </row>
    <row r="24" spans="2:40" ht="12.95" customHeight="1" thickBot="1" x14ac:dyDescent="0.25">
      <c r="B24" s="1930" t="s">
        <v>3675</v>
      </c>
      <c r="C24" s="1931"/>
      <c r="D24" s="1931"/>
      <c r="E24" s="1931"/>
      <c r="F24" s="1931"/>
      <c r="G24" s="1931"/>
      <c r="H24" s="1931"/>
      <c r="I24" s="1931"/>
      <c r="J24" s="1931"/>
      <c r="K24" s="1931"/>
      <c r="L24" s="1931"/>
      <c r="M24" s="1931"/>
      <c r="N24" s="1931"/>
      <c r="O24" s="1931"/>
      <c r="P24" s="1931"/>
      <c r="Q24" s="1931"/>
      <c r="R24" s="1931"/>
      <c r="S24" s="1931"/>
      <c r="T24" s="1931"/>
      <c r="U24" s="1931"/>
      <c r="V24" s="1931"/>
      <c r="W24" s="1931"/>
      <c r="X24" s="1931"/>
      <c r="Y24" s="1931"/>
      <c r="Z24" s="1931"/>
      <c r="AA24" s="1931"/>
      <c r="AB24" s="1931"/>
      <c r="AC24" s="1931"/>
      <c r="AD24" s="1931"/>
      <c r="AE24" s="1931"/>
      <c r="AF24" s="1931"/>
      <c r="AG24" s="1931"/>
      <c r="AH24" s="1931"/>
      <c r="AI24" s="1931"/>
      <c r="AJ24" s="1931"/>
      <c r="AK24" s="1931"/>
      <c r="AL24" s="1931"/>
      <c r="AM24" s="1931"/>
      <c r="AN24" s="1932"/>
    </row>
    <row r="25" spans="2:40" ht="12.95" customHeight="1" thickBot="1" x14ac:dyDescent="0.25">
      <c r="B25" s="1768" t="s">
        <v>3671</v>
      </c>
      <c r="C25" s="1940"/>
      <c r="D25" s="1940"/>
      <c r="E25" s="1940"/>
      <c r="F25" s="1940"/>
      <c r="G25" s="1940"/>
      <c r="H25" s="1940"/>
      <c r="I25" s="1940"/>
      <c r="J25" s="1940"/>
      <c r="K25" s="1940"/>
      <c r="L25" s="1940"/>
      <c r="M25" s="1940"/>
      <c r="N25" s="1940"/>
      <c r="O25" s="1940"/>
      <c r="P25" s="1940"/>
      <c r="Q25" s="1940"/>
      <c r="R25" s="1940"/>
      <c r="S25" s="1940"/>
      <c r="T25" s="1940"/>
      <c r="U25" s="1940"/>
      <c r="V25" s="1940"/>
      <c r="W25" s="1940"/>
      <c r="X25" s="1940"/>
      <c r="Y25" s="1940"/>
      <c r="Z25" s="1940"/>
      <c r="AA25" s="1940"/>
      <c r="AB25" s="1940"/>
      <c r="AC25" s="1940"/>
      <c r="AD25" s="1940"/>
      <c r="AE25" s="1940"/>
      <c r="AF25" s="1940"/>
      <c r="AG25" s="1940"/>
      <c r="AH25" s="1940"/>
      <c r="AI25" s="1940"/>
      <c r="AJ25" s="1940"/>
      <c r="AK25" s="1940"/>
      <c r="AL25" s="1940"/>
      <c r="AM25" s="1940"/>
      <c r="AN25" s="1941"/>
    </row>
  </sheetData>
  <sheetProtection password="CA39" sheet="1" objects="1" scenarios="1"/>
  <mergeCells count="46">
    <mergeCell ref="B19:AJ19"/>
    <mergeCell ref="B18:AJ18"/>
    <mergeCell ref="B12:P12"/>
    <mergeCell ref="B24:AN24"/>
    <mergeCell ref="B25:AN25"/>
    <mergeCell ref="AK22:AL22"/>
    <mergeCell ref="AM22:AN22"/>
    <mergeCell ref="AK23:AL23"/>
    <mergeCell ref="AM23:AN23"/>
    <mergeCell ref="B22:AJ22"/>
    <mergeCell ref="B23:AJ23"/>
    <mergeCell ref="AK20:AL20"/>
    <mergeCell ref="AK21:AL21"/>
    <mergeCell ref="AM21:AN21"/>
    <mergeCell ref="B20:AJ20"/>
    <mergeCell ref="B21:AJ21"/>
    <mergeCell ref="AK18:AL18"/>
    <mergeCell ref="AK19:AL19"/>
    <mergeCell ref="AM18:AN18"/>
    <mergeCell ref="AM19:AN19"/>
    <mergeCell ref="AM20:AN20"/>
    <mergeCell ref="B17:AN17"/>
    <mergeCell ref="Q9:R9"/>
    <mergeCell ref="B8:P8"/>
    <mergeCell ref="Q8:R8"/>
    <mergeCell ref="Q14:R14"/>
    <mergeCell ref="Q12:R12"/>
    <mergeCell ref="Q13:R13"/>
    <mergeCell ref="B13:P13"/>
    <mergeCell ref="Q10:R10"/>
    <mergeCell ref="B11:P11"/>
    <mergeCell ref="Q11:R11"/>
    <mergeCell ref="B10:P10"/>
    <mergeCell ref="B15:R15"/>
    <mergeCell ref="B14:P14"/>
    <mergeCell ref="B9:P9"/>
    <mergeCell ref="B6:R6"/>
    <mergeCell ref="Q7:R7"/>
    <mergeCell ref="B7:P7"/>
    <mergeCell ref="B2:N2"/>
    <mergeCell ref="B3:E3"/>
    <mergeCell ref="F3:J3"/>
    <mergeCell ref="K3:N3"/>
    <mergeCell ref="B4:E4"/>
    <mergeCell ref="F4:J4"/>
    <mergeCell ref="K4:N4"/>
  </mergeCells>
  <phoneticPr fontId="2" type="noConversion"/>
  <dataValidations count="8">
    <dataValidation type="list" allowBlank="1" showInputMessage="1" showErrorMessage="1" sqref="Q14:R14" xr:uid="{00000000-0002-0000-1300-000000000000}">
      <formula1>RPM</formula1>
    </dataValidation>
    <dataValidation type="list" allowBlank="1" showInputMessage="1" showErrorMessage="1" sqref="AK19:AL23" xr:uid="{00000000-0002-0000-1300-000001000000}">
      <formula1>_TR2</formula1>
    </dataValidation>
    <dataValidation type="list" allowBlank="1" showInputMessage="1" showErrorMessage="1" sqref="B19:B23 Q20:AJ23 C20:P20 C23:P23" xr:uid="{00000000-0002-0000-1300-000002000000}">
      <formula1>OH_Door</formula1>
    </dataValidation>
    <dataValidation type="list" allowBlank="1" showInputMessage="1" showErrorMessage="1" sqref="Q8:Q12" xr:uid="{00000000-0002-0000-1300-000003000000}">
      <formula1>TR</formula1>
    </dataValidation>
    <dataValidation type="list" allowBlank="1" showInputMessage="1" showErrorMessage="1" sqref="B8:B12" xr:uid="{00000000-0002-0000-1300-000004000000}">
      <formula1>Door_Traffic</formula1>
    </dataValidation>
    <dataValidation type="list" allowBlank="1" showInputMessage="1" showErrorMessage="1" sqref="B4" xr:uid="{00000000-0002-0000-1300-000005000000}">
      <formula1>Story</formula1>
    </dataValidation>
    <dataValidation type="list" allowBlank="1" showInputMessage="1" showErrorMessage="1" sqref="K4" xr:uid="{00000000-0002-0000-1300-000006000000}">
      <formula1>Tightness</formula1>
    </dataValidation>
    <dataValidation type="list" allowBlank="1" showInputMessage="1" showErrorMessage="1" sqref="F4" xr:uid="{00000000-0002-0000-1300-000007000000}">
      <formula1>Exposure</formula1>
    </dataValidation>
  </dataValidations>
  <hyperlinks>
    <hyperlink ref="B25:N25" location="N1_Infiltration" display="Return to N1 Form" xr:uid="{00000000-0004-0000-1300-000000000000}"/>
  </hyperlinks>
  <pageMargins left="0.75" right="0.75" top="1" bottom="1" header="0.5" footer="0.5"/>
  <pageSetup orientation="portrait" horizontalDpi="4294967293" verticalDpi="1200" r:id="rId1"/>
  <headerFooter alignWithMargins="0"/>
  <customProperties>
    <customPr name="SSCSheetTrackingNo"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5"/>
  <dimension ref="A1:EB350"/>
  <sheetViews>
    <sheetView zoomScale="75" workbookViewId="0">
      <selection activeCell="X46" sqref="X46"/>
    </sheetView>
  </sheetViews>
  <sheetFormatPr defaultColWidth="9.140625" defaultRowHeight="11.25" x14ac:dyDescent="0.2"/>
  <cols>
    <col min="1" max="16384" width="9.140625" style="60"/>
  </cols>
  <sheetData>
    <row r="1" spans="1:49" x14ac:dyDescent="0.2">
      <c r="A1" s="60">
        <f>DuctsI!AP3</f>
        <v>3</v>
      </c>
      <c r="B1" s="60" t="e">
        <f t="shared" ref="B1:C4" si="0">IF($A$1=1,B114,IF($A$1=2,B164,IF($A$1=3,B214,IF($A$1=4,B264,IF($A$1=5,B314)))))</f>
        <v>#DIV/0!</v>
      </c>
      <c r="C1" s="60" t="str">
        <f t="shared" si="0"/>
        <v>Trunk and Branch Supply and Return System Installed in a Unconditioned Space or Outdoors, Center Supply Outlets</v>
      </c>
    </row>
    <row r="2" spans="1:49" x14ac:dyDescent="0.2">
      <c r="B2" s="60" t="e">
        <f t="shared" si="0"/>
        <v>#DIV/0!</v>
      </c>
      <c r="C2" s="60" t="e">
        <f t="shared" si="0"/>
        <v>#DIV/0!</v>
      </c>
      <c r="U2" s="60" t="e">
        <f t="shared" ref="U2:V4" si="1">IF($A$1=1,I115,IF($A$1=2,I165,IF($A$1=3,I215,IF($A$1=4,I265,IF($A$1=5,I315)))))</f>
        <v>#DIV/0!</v>
      </c>
      <c r="V2" s="60" t="e">
        <f t="shared" si="1"/>
        <v>#DIV/0!</v>
      </c>
      <c r="AH2" s="60" t="e">
        <f>IF($A$1=1,P116,IF($A$1=2,P166,IF($A$1=3,P216,IF($A$1=4,P266,IF($A$1=5,P316)))))</f>
        <v>#DIV/0!</v>
      </c>
      <c r="AI2" s="60" t="e">
        <f>IF($A$1=1,Q115,IF($A$1=2,Q165,IF($A$1=3,Q215,IF($A$1=4,Q265,IF($A$1=5,Q315)))))</f>
        <v>#DIV/0!</v>
      </c>
    </row>
    <row r="3" spans="1:49" x14ac:dyDescent="0.2">
      <c r="B3" s="60" t="e">
        <f t="shared" si="0"/>
        <v>#DIV/0!</v>
      </c>
      <c r="C3" s="60">
        <v>0</v>
      </c>
      <c r="D3" s="60">
        <v>1</v>
      </c>
      <c r="E3" s="60">
        <v>4500</v>
      </c>
      <c r="F3" s="60">
        <v>5250</v>
      </c>
      <c r="G3" s="60">
        <v>6000</v>
      </c>
      <c r="H3" s="60">
        <v>6750</v>
      </c>
      <c r="I3" s="60">
        <v>7500</v>
      </c>
      <c r="J3" s="60">
        <v>8250</v>
      </c>
      <c r="K3" s="60">
        <v>9000</v>
      </c>
      <c r="L3" s="60">
        <v>9750</v>
      </c>
      <c r="M3" s="60">
        <v>10500</v>
      </c>
      <c r="N3" s="60">
        <v>11250</v>
      </c>
      <c r="O3" s="60">
        <v>12000</v>
      </c>
      <c r="P3" s="60">
        <v>12750</v>
      </c>
      <c r="Q3" s="60">
        <v>13500</v>
      </c>
      <c r="R3" s="60">
        <v>14250</v>
      </c>
      <c r="S3" s="60">
        <v>15000</v>
      </c>
      <c r="V3" s="60">
        <v>0</v>
      </c>
      <c r="W3" s="60">
        <v>1</v>
      </c>
      <c r="X3" s="60">
        <v>4500</v>
      </c>
      <c r="Y3" s="60">
        <v>5250</v>
      </c>
      <c r="Z3" s="60">
        <v>6000</v>
      </c>
      <c r="AA3" s="60">
        <v>7500</v>
      </c>
      <c r="AB3" s="60">
        <v>9000</v>
      </c>
      <c r="AC3" s="60">
        <v>10500</v>
      </c>
      <c r="AD3" s="60">
        <v>12000</v>
      </c>
      <c r="AE3" s="60">
        <v>13500</v>
      </c>
      <c r="AF3" s="60">
        <v>15000</v>
      </c>
      <c r="AI3" s="60">
        <v>0</v>
      </c>
      <c r="AJ3" s="60">
        <v>3750</v>
      </c>
      <c r="AK3" s="60">
        <v>4500</v>
      </c>
      <c r="AL3" s="60">
        <v>5250</v>
      </c>
      <c r="AM3" s="60">
        <v>6000</v>
      </c>
      <c r="AN3" s="60">
        <v>6750</v>
      </c>
      <c r="AO3" s="60">
        <v>7500</v>
      </c>
      <c r="AP3" s="60">
        <v>8250</v>
      </c>
      <c r="AQ3" s="60">
        <v>9000</v>
      </c>
      <c r="AR3" s="60">
        <v>9750</v>
      </c>
      <c r="AS3" s="60">
        <v>10500</v>
      </c>
      <c r="AT3" s="60">
        <v>11250</v>
      </c>
      <c r="AU3" s="60">
        <v>12000</v>
      </c>
      <c r="AV3" s="60">
        <v>13500</v>
      </c>
      <c r="AW3" s="60">
        <v>15000</v>
      </c>
    </row>
    <row r="4" spans="1:49" x14ac:dyDescent="0.2">
      <c r="B4" s="60">
        <v>-20</v>
      </c>
      <c r="C4" s="60" t="e">
        <f t="shared" si="0"/>
        <v>#DIV/0!</v>
      </c>
      <c r="D4" s="60" t="e">
        <f>E4*0.99</f>
        <v>#DIV/0!</v>
      </c>
      <c r="E4" s="60" t="e">
        <f>F4*0.99</f>
        <v>#DIV/0!</v>
      </c>
      <c r="F4" s="60" t="e">
        <f>G4*0.99</f>
        <v>#DIV/0!</v>
      </c>
      <c r="G4" s="60" t="e">
        <f>IF($A$1=1,D117,IF($A$1=2,D167,IF($A$1=3,D217,IF($A$1=4,D267,IF($A$1=5,D317)))))</f>
        <v>#DIV/0!</v>
      </c>
      <c r="H4" s="60" t="e">
        <f t="shared" ref="H4:H22" si="2">(G4+I4)/2</f>
        <v>#DIV/0!</v>
      </c>
      <c r="I4" s="60" t="e">
        <f t="shared" ref="I4:I22" si="3">(G4+K4)/2</f>
        <v>#DIV/0!</v>
      </c>
      <c r="J4" s="60" t="e">
        <f t="shared" ref="J4:J22" si="4">(I4+K4)/2</f>
        <v>#DIV/0!</v>
      </c>
      <c r="K4" s="60" t="e">
        <f>IF($A$1=1,E117,IF($A$1=2,E167,IF($A$1=3,E217,IF($A$1=4,E267,IF($A$1=5,E317)))))</f>
        <v>#DIV/0!</v>
      </c>
      <c r="L4" s="60" t="e">
        <f t="shared" ref="L4:L22" si="5">(K4+M4)/2</f>
        <v>#DIV/0!</v>
      </c>
      <c r="M4" s="60" t="e">
        <f t="shared" ref="M4:M22" si="6">(K4+O4)/2</f>
        <v>#DIV/0!</v>
      </c>
      <c r="N4" s="60" t="e">
        <f t="shared" ref="N4:N22" si="7">(M4+O4)/2</f>
        <v>#DIV/0!</v>
      </c>
      <c r="O4" s="60" t="e">
        <f>IF($A$1=1,F117,IF($A$1=2,F167,IF($A$1=3,F217,IF($A$1=4,F267,IF($A$1=5,F317)))))</f>
        <v>#DIV/0!</v>
      </c>
      <c r="P4" s="60" t="e">
        <f t="shared" ref="P4:P22" si="8">(O4+Q4)/2</f>
        <v>#DIV/0!</v>
      </c>
      <c r="Q4" s="60" t="e">
        <f t="shared" ref="Q4:Q22" si="9">(O4+S4)/2</f>
        <v>#DIV/0!</v>
      </c>
      <c r="R4" s="60" t="e">
        <f t="shared" ref="R4:R22" si="10">(Q4+S4)/2</f>
        <v>#DIV/0!</v>
      </c>
      <c r="S4" s="60" t="e">
        <f>IF($A$1=1,G117,IF($A$1=2,G167,IF($A$1=3,G217,IF($A$1=4,G267,IF($A$1=5,G317)))))</f>
        <v>#DIV/0!</v>
      </c>
      <c r="U4" s="60">
        <v>60</v>
      </c>
      <c r="V4" s="60" t="e">
        <f t="shared" si="1"/>
        <v>#DIV/0!</v>
      </c>
      <c r="W4" s="60" t="e">
        <f>X4*0.99</f>
        <v>#DIV/0!</v>
      </c>
      <c r="X4" s="60" t="e">
        <f>Y4*0.99</f>
        <v>#DIV/0!</v>
      </c>
      <c r="Y4" s="60" t="e">
        <f>Z4*0.99</f>
        <v>#DIV/0!</v>
      </c>
      <c r="Z4" s="60" t="e">
        <f>IF($A$1=1,K117,IF($A$1=2,K167,IF($A$1=3,K217,IF($A$1=4,K267,IF($A$1=5,K317)))))</f>
        <v>#DIV/0!</v>
      </c>
      <c r="AA4" s="60" t="e">
        <f t="shared" ref="AA4:AA23" si="11">(Z4+AB4)/2</f>
        <v>#DIV/0!</v>
      </c>
      <c r="AB4" s="60" t="e">
        <f>IF($A$1=1,L117,IF($A$1=2,L167,IF($A$1=3,L217,IF($A$1=4,L267,IF($A$1=5,L317)))))</f>
        <v>#DIV/0!</v>
      </c>
      <c r="AC4" s="60" t="e">
        <f t="shared" ref="AC4:AC23" si="12">(AB4+AD4)/2</f>
        <v>#DIV/0!</v>
      </c>
      <c r="AD4" s="60" t="e">
        <f>IF($A$1=1,M117,IF($A$1=2,M167,IF($A$1=3,M217,IF($A$1=4,M267,IF($A$1=5,M317)))))</f>
        <v>#DIV/0!</v>
      </c>
      <c r="AE4" s="60" t="e">
        <f t="shared" ref="AE4:AE23" si="13">(AD4+AF4)/2</f>
        <v>#DIV/0!</v>
      </c>
      <c r="AF4" s="60" t="e">
        <f>IF($A$1=1,N117,IF($A$1=2,N167,IF($A$1=3,N217,IF($A$1=4,N267,IF($A$1=5,N317)))))</f>
        <v>#DIV/0!</v>
      </c>
      <c r="AH4" s="60">
        <v>0</v>
      </c>
      <c r="AI4" s="60" t="e">
        <f>IF($A$1=1,Q117,IF($A$1=2,Q167,IF($A$1=3,Q217,IF($A$1=4,Q267,IF($A$1=5,Q317)))))</f>
        <v>#DIV/0!</v>
      </c>
      <c r="AJ4" s="60" t="e">
        <f t="shared" ref="AJ4:AL16" si="14">(AI4+AK4)/2</f>
        <v>#DIV/0!</v>
      </c>
      <c r="AK4" s="60" t="e">
        <f t="shared" ref="AK4:AK16" si="15">(AI4+AM4)/2</f>
        <v>#DIV/0!</v>
      </c>
      <c r="AL4" s="60" t="e">
        <f t="shared" si="14"/>
        <v>#DIV/0!</v>
      </c>
      <c r="AM4" s="60" t="e">
        <f>IF($A$1=1,R117,IF($A$1=2,R167,IF($A$1=3,R217,IF($A$1=4,R267,IF($A$1=5,R317)))))</f>
        <v>#DIV/0!</v>
      </c>
      <c r="AN4" s="60" t="e">
        <f t="shared" ref="AN4:AN16" si="16">(AM4+AO4)/2</f>
        <v>#DIV/0!</v>
      </c>
      <c r="AO4" s="60" t="e">
        <f t="shared" ref="AO4:AO16" si="17">(AM4+AQ4)/2</f>
        <v>#DIV/0!</v>
      </c>
      <c r="AP4" s="60" t="e">
        <f t="shared" ref="AP4:AP16" si="18">(AO4+AQ4)/2</f>
        <v>#DIV/0!</v>
      </c>
      <c r="AQ4" s="60" t="e">
        <f>IF($A$1=1,S117,IF($A$1=2,S167,IF($A$1=3,S217,IF($A$1=4,S267,IF($A$1=5,S317)))))</f>
        <v>#DIV/0!</v>
      </c>
      <c r="AR4" s="60" t="e">
        <f t="shared" ref="AR4:AR16" si="19">(AQ4+AS4)/2</f>
        <v>#DIV/0!</v>
      </c>
      <c r="AS4" s="60" t="e">
        <f t="shared" ref="AS4:AS16" si="20">(AQ4+AU4)/2</f>
        <v>#DIV/0!</v>
      </c>
      <c r="AT4" s="60" t="e">
        <f t="shared" ref="AT4:AT16" si="21">(AS4+AU4)/2</f>
        <v>#DIV/0!</v>
      </c>
      <c r="AU4" s="60" t="e">
        <f>IF($A$1=1,T117,IF($A$1=2,T167,IF($A$1=3,T217,IF($A$1=4,T267,IF($A$1=5,T317)))))</f>
        <v>#DIV/0!</v>
      </c>
      <c r="AV4" s="60" t="e">
        <f t="shared" ref="AV4:AV16" si="22">(AU4+AW4)/2</f>
        <v>#DIV/0!</v>
      </c>
      <c r="AW4" s="60" t="e">
        <f>IF($A$1=1,U117,IF($A$1=2,U167,IF($A$1=3,U217,IF($A$1=4,U267,IF($A$1=5,U317)))))</f>
        <v>#DIV/0!</v>
      </c>
    </row>
    <row r="5" spans="1:49" x14ac:dyDescent="0.2">
      <c r="B5" s="60">
        <v>-15</v>
      </c>
      <c r="C5" s="60" t="e">
        <f>(C4+C6)/2</f>
        <v>#DIV/0!</v>
      </c>
      <c r="D5" s="60" t="e">
        <f t="shared" ref="D5:F5" si="23">E5*0.99</f>
        <v>#DIV/0!</v>
      </c>
      <c r="E5" s="60" t="e">
        <f t="shared" si="23"/>
        <v>#DIV/0!</v>
      </c>
      <c r="F5" s="60" t="e">
        <f t="shared" si="23"/>
        <v>#DIV/0!</v>
      </c>
      <c r="G5" s="60" t="e">
        <f>(G4+G6)/2</f>
        <v>#DIV/0!</v>
      </c>
      <c r="H5" s="60" t="e">
        <f t="shared" si="2"/>
        <v>#DIV/0!</v>
      </c>
      <c r="I5" s="60" t="e">
        <f t="shared" si="3"/>
        <v>#DIV/0!</v>
      </c>
      <c r="J5" s="60" t="e">
        <f t="shared" si="4"/>
        <v>#DIV/0!</v>
      </c>
      <c r="K5" s="60" t="e">
        <f>(K4+K6)/2</f>
        <v>#DIV/0!</v>
      </c>
      <c r="L5" s="60" t="e">
        <f t="shared" si="5"/>
        <v>#DIV/0!</v>
      </c>
      <c r="M5" s="60" t="e">
        <f t="shared" si="6"/>
        <v>#DIV/0!</v>
      </c>
      <c r="N5" s="60" t="e">
        <f t="shared" si="7"/>
        <v>#DIV/0!</v>
      </c>
      <c r="O5" s="60" t="e">
        <f>(O4+O6)/2</f>
        <v>#DIV/0!</v>
      </c>
      <c r="P5" s="60" t="e">
        <f t="shared" si="8"/>
        <v>#DIV/0!</v>
      </c>
      <c r="Q5" s="60" t="e">
        <f t="shared" si="9"/>
        <v>#DIV/0!</v>
      </c>
      <c r="R5" s="60" t="e">
        <f t="shared" si="10"/>
        <v>#DIV/0!</v>
      </c>
      <c r="S5" s="60" t="e">
        <f>(S4+S6)/2</f>
        <v>#DIV/0!</v>
      </c>
      <c r="U5" s="60">
        <v>65</v>
      </c>
      <c r="V5" s="60" t="e">
        <f t="shared" ref="V5:AF5" si="24">(V4+V6)/2</f>
        <v>#DIV/0!</v>
      </c>
      <c r="W5" s="60" t="e">
        <f t="shared" ref="W5:Y5" si="25">X5*0.97</f>
        <v>#DIV/0!</v>
      </c>
      <c r="X5" s="60" t="e">
        <f t="shared" si="25"/>
        <v>#DIV/0!</v>
      </c>
      <c r="Y5" s="60" t="e">
        <f t="shared" si="25"/>
        <v>#DIV/0!</v>
      </c>
      <c r="Z5" s="60" t="e">
        <f t="shared" si="24"/>
        <v>#DIV/0!</v>
      </c>
      <c r="AA5" s="60" t="e">
        <f t="shared" si="11"/>
        <v>#DIV/0!</v>
      </c>
      <c r="AB5" s="60" t="e">
        <f t="shared" si="24"/>
        <v>#DIV/0!</v>
      </c>
      <c r="AC5" s="60" t="e">
        <f t="shared" si="12"/>
        <v>#DIV/0!</v>
      </c>
      <c r="AD5" s="60" t="e">
        <f t="shared" si="24"/>
        <v>#DIV/0!</v>
      </c>
      <c r="AE5" s="60" t="e">
        <f t="shared" si="13"/>
        <v>#DIV/0!</v>
      </c>
      <c r="AF5" s="60" t="e">
        <f t="shared" si="24"/>
        <v>#DIV/0!</v>
      </c>
      <c r="AH5" s="60">
        <v>15</v>
      </c>
      <c r="AI5" s="60" t="e">
        <f>(AI4+AI6)/2</f>
        <v>#DIV/0!</v>
      </c>
      <c r="AJ5" s="60" t="e">
        <f t="shared" si="14"/>
        <v>#DIV/0!</v>
      </c>
      <c r="AK5" s="60" t="e">
        <f t="shared" si="15"/>
        <v>#DIV/0!</v>
      </c>
      <c r="AL5" s="60" t="e">
        <f t="shared" si="14"/>
        <v>#DIV/0!</v>
      </c>
      <c r="AM5" s="60" t="e">
        <f>(AM4+AM6)/2</f>
        <v>#DIV/0!</v>
      </c>
      <c r="AN5" s="60" t="e">
        <f t="shared" si="16"/>
        <v>#DIV/0!</v>
      </c>
      <c r="AO5" s="60" t="e">
        <f t="shared" si="17"/>
        <v>#DIV/0!</v>
      </c>
      <c r="AP5" s="60" t="e">
        <f t="shared" si="18"/>
        <v>#DIV/0!</v>
      </c>
      <c r="AQ5" s="60" t="e">
        <f>(AQ4+AQ6)/2</f>
        <v>#DIV/0!</v>
      </c>
      <c r="AR5" s="60" t="e">
        <f t="shared" si="19"/>
        <v>#DIV/0!</v>
      </c>
      <c r="AS5" s="60" t="e">
        <f t="shared" si="20"/>
        <v>#DIV/0!</v>
      </c>
      <c r="AT5" s="60" t="e">
        <f t="shared" si="21"/>
        <v>#DIV/0!</v>
      </c>
      <c r="AU5" s="60" t="e">
        <f>(AU4+AU6)/2</f>
        <v>#DIV/0!</v>
      </c>
      <c r="AV5" s="60" t="e">
        <f t="shared" si="22"/>
        <v>#DIV/0!</v>
      </c>
      <c r="AW5" s="60" t="e">
        <f>(AW4+AW6)/2</f>
        <v>#DIV/0!</v>
      </c>
    </row>
    <row r="6" spans="1:49" x14ac:dyDescent="0.2">
      <c r="B6" s="60">
        <v>-10</v>
      </c>
      <c r="C6" s="60" t="e">
        <f>IF($A$1=1,C118,IF($A$1=2,C168,IF($A$1=3,C218,IF($A$1=4,C268,IF($A$1=5,C318)))))</f>
        <v>#DIV/0!</v>
      </c>
      <c r="D6" s="60" t="e">
        <f t="shared" ref="D6:F6" si="26">E6*0.99</f>
        <v>#DIV/0!</v>
      </c>
      <c r="E6" s="60" t="e">
        <f t="shared" si="26"/>
        <v>#DIV/0!</v>
      </c>
      <c r="F6" s="60" t="e">
        <f t="shared" si="26"/>
        <v>#DIV/0!</v>
      </c>
      <c r="G6" s="60" t="e">
        <f>IF($A$1=1,D118,IF($A$1=2,D168,IF($A$1=3,D218,IF($A$1=4,D268,IF($A$1=5,D318)))))</f>
        <v>#DIV/0!</v>
      </c>
      <c r="H6" s="60" t="e">
        <f t="shared" si="2"/>
        <v>#DIV/0!</v>
      </c>
      <c r="I6" s="60" t="e">
        <f t="shared" si="3"/>
        <v>#DIV/0!</v>
      </c>
      <c r="J6" s="60" t="e">
        <f t="shared" si="4"/>
        <v>#DIV/0!</v>
      </c>
      <c r="K6" s="60" t="e">
        <f>IF($A$1=1,E118,IF($A$1=2,E168,IF($A$1=3,E218,IF($A$1=4,E268,IF($A$1=5,E318)))))</f>
        <v>#DIV/0!</v>
      </c>
      <c r="L6" s="60" t="e">
        <f t="shared" si="5"/>
        <v>#DIV/0!</v>
      </c>
      <c r="M6" s="60" t="e">
        <f t="shared" si="6"/>
        <v>#DIV/0!</v>
      </c>
      <c r="N6" s="60" t="e">
        <f t="shared" si="7"/>
        <v>#DIV/0!</v>
      </c>
      <c r="O6" s="60" t="e">
        <f>IF($A$1=1,F118,IF($A$1=2,F168,IF($A$1=3,F218,IF($A$1=4,F268,IF($A$1=5,F318)))))</f>
        <v>#DIV/0!</v>
      </c>
      <c r="P6" s="60" t="e">
        <f t="shared" si="8"/>
        <v>#DIV/0!</v>
      </c>
      <c r="Q6" s="60" t="e">
        <f t="shared" si="9"/>
        <v>#DIV/0!</v>
      </c>
      <c r="R6" s="60" t="e">
        <f t="shared" si="10"/>
        <v>#DIV/0!</v>
      </c>
      <c r="S6" s="60" t="e">
        <f>IF($A$1=1,G118,IF($A$1=2,G168,IF($A$1=3,G218,IF($A$1=4,G268,IF($A$1=5,G318)))))</f>
        <v>#DIV/0!</v>
      </c>
      <c r="U6" s="60">
        <v>70</v>
      </c>
      <c r="V6" s="60" t="e">
        <f>IF($A$1=1,J118,IF($A$1=2,J168,IF($A$1=3,J218,IF($A$1=4,J268,IF($A$1=5,J318)))))</f>
        <v>#DIV/0!</v>
      </c>
      <c r="W6" s="60" t="e">
        <f t="shared" ref="W6:Y6" si="27">X6*0.97</f>
        <v>#DIV/0!</v>
      </c>
      <c r="X6" s="60" t="e">
        <f t="shared" si="27"/>
        <v>#DIV/0!</v>
      </c>
      <c r="Y6" s="60" t="e">
        <f t="shared" si="27"/>
        <v>#DIV/0!</v>
      </c>
      <c r="Z6" s="60" t="e">
        <f>IF($A$1=1,K118,IF($A$1=2,K168,IF($A$1=3,K218,IF($A$1=4,K268,IF($A$1=5,K318)))))</f>
        <v>#DIV/0!</v>
      </c>
      <c r="AA6" s="60" t="e">
        <f t="shared" si="11"/>
        <v>#DIV/0!</v>
      </c>
      <c r="AB6" s="60" t="e">
        <f>IF($A$1=1,L118,IF($A$1=2,L168,IF($A$1=3,L218,IF($A$1=4,L268,IF($A$1=5,L318)))))</f>
        <v>#DIV/0!</v>
      </c>
      <c r="AC6" s="60" t="e">
        <f t="shared" si="12"/>
        <v>#DIV/0!</v>
      </c>
      <c r="AD6" s="60" t="e">
        <f>IF($A$1=1,M118,IF($A$1=2,M168,IF($A$1=3,M218,IF($A$1=4,M268,IF($A$1=5,M318)))))</f>
        <v>#DIV/0!</v>
      </c>
      <c r="AE6" s="60" t="e">
        <f t="shared" si="13"/>
        <v>#DIV/0!</v>
      </c>
      <c r="AF6" s="60" t="e">
        <f>IF($A$1=1,N118,IF($A$1=2,N168,IF($A$1=3,N218,IF($A$1=4,N268,IF($A$1=5,N318)))))</f>
        <v>#DIV/0!</v>
      </c>
      <c r="AH6" s="60">
        <v>20</v>
      </c>
      <c r="AI6" s="60" t="e">
        <f>IF($A$1=1,Q118,IF($A$1=2,Q168,IF($A$1=3,Q218,IF($A$1=4,Q268,IF($A$1=5,Q318)))))</f>
        <v>#DIV/0!</v>
      </c>
      <c r="AJ6" s="60" t="e">
        <f t="shared" si="14"/>
        <v>#DIV/0!</v>
      </c>
      <c r="AK6" s="60" t="e">
        <f t="shared" si="15"/>
        <v>#DIV/0!</v>
      </c>
      <c r="AL6" s="60" t="e">
        <f t="shared" si="14"/>
        <v>#DIV/0!</v>
      </c>
      <c r="AM6" s="60" t="e">
        <f>IF($A$1=1,R118,IF($A$1=2,R168,IF($A$1=3,R218,IF($A$1=4,R268,IF($A$1=5,R318)))))</f>
        <v>#DIV/0!</v>
      </c>
      <c r="AN6" s="60" t="e">
        <f t="shared" si="16"/>
        <v>#DIV/0!</v>
      </c>
      <c r="AO6" s="60" t="e">
        <f t="shared" si="17"/>
        <v>#DIV/0!</v>
      </c>
      <c r="AP6" s="60" t="e">
        <f t="shared" si="18"/>
        <v>#DIV/0!</v>
      </c>
      <c r="AQ6" s="60" t="e">
        <f>IF($A$1=1,S118,IF($A$1=2,S168,IF($A$1=3,S218,IF($A$1=4,S268,IF($A$1=5,S318)))))</f>
        <v>#DIV/0!</v>
      </c>
      <c r="AR6" s="60" t="e">
        <f t="shared" si="19"/>
        <v>#DIV/0!</v>
      </c>
      <c r="AS6" s="60" t="e">
        <f t="shared" si="20"/>
        <v>#DIV/0!</v>
      </c>
      <c r="AT6" s="60" t="e">
        <f t="shared" si="21"/>
        <v>#DIV/0!</v>
      </c>
      <c r="AU6" s="60" t="e">
        <f>IF($A$1=1,T118,IF($A$1=2,T168,IF($A$1=3,T218,IF($A$1=4,T268,IF($A$1=5,T318)))))</f>
        <v>#DIV/0!</v>
      </c>
      <c r="AV6" s="60" t="e">
        <f t="shared" si="22"/>
        <v>#DIV/0!</v>
      </c>
      <c r="AW6" s="60" t="e">
        <f>IF($A$1=1,U118,IF($A$1=2,U168,IF($A$1=3,U218,IF($A$1=4,U268,IF($A$1=5,U318)))))</f>
        <v>#DIV/0!</v>
      </c>
    </row>
    <row r="7" spans="1:49" x14ac:dyDescent="0.2">
      <c r="B7" s="60">
        <v>-5</v>
      </c>
      <c r="C7" s="60" t="e">
        <f>(C6+C8)/2</f>
        <v>#DIV/0!</v>
      </c>
      <c r="D7" s="60" t="e">
        <f t="shared" ref="D7:F7" si="28">E7*0.99</f>
        <v>#DIV/0!</v>
      </c>
      <c r="E7" s="60" t="e">
        <f t="shared" si="28"/>
        <v>#DIV/0!</v>
      </c>
      <c r="F7" s="60" t="e">
        <f t="shared" si="28"/>
        <v>#DIV/0!</v>
      </c>
      <c r="G7" s="60" t="e">
        <f>(G6+G8)/2</f>
        <v>#DIV/0!</v>
      </c>
      <c r="H7" s="60" t="e">
        <f t="shared" si="2"/>
        <v>#DIV/0!</v>
      </c>
      <c r="I7" s="60" t="e">
        <f t="shared" si="3"/>
        <v>#DIV/0!</v>
      </c>
      <c r="J7" s="60" t="e">
        <f t="shared" si="4"/>
        <v>#DIV/0!</v>
      </c>
      <c r="K7" s="60" t="e">
        <f>(K6+K8)/2</f>
        <v>#DIV/0!</v>
      </c>
      <c r="L7" s="60" t="e">
        <f t="shared" si="5"/>
        <v>#DIV/0!</v>
      </c>
      <c r="M7" s="60" t="e">
        <f t="shared" si="6"/>
        <v>#DIV/0!</v>
      </c>
      <c r="N7" s="60" t="e">
        <f t="shared" si="7"/>
        <v>#DIV/0!</v>
      </c>
      <c r="O7" s="60" t="e">
        <f>(O6+O8)/2</f>
        <v>#DIV/0!</v>
      </c>
      <c r="P7" s="60" t="e">
        <f t="shared" si="8"/>
        <v>#DIV/0!</v>
      </c>
      <c r="Q7" s="60" t="e">
        <f t="shared" si="9"/>
        <v>#DIV/0!</v>
      </c>
      <c r="R7" s="60" t="e">
        <f t="shared" si="10"/>
        <v>#DIV/0!</v>
      </c>
      <c r="S7" s="60" t="e">
        <f>(S6+S8)/2</f>
        <v>#DIV/0!</v>
      </c>
      <c r="U7" s="60">
        <v>75</v>
      </c>
      <c r="V7" s="60" t="e">
        <f t="shared" ref="V7:AF7" si="29">(V6+V8)/2</f>
        <v>#DIV/0!</v>
      </c>
      <c r="W7" s="60" t="e">
        <f t="shared" ref="W7:Y7" si="30">X7*0.97</f>
        <v>#DIV/0!</v>
      </c>
      <c r="X7" s="60" t="e">
        <f t="shared" si="30"/>
        <v>#DIV/0!</v>
      </c>
      <c r="Y7" s="60" t="e">
        <f t="shared" si="30"/>
        <v>#DIV/0!</v>
      </c>
      <c r="Z7" s="60" t="e">
        <f t="shared" si="29"/>
        <v>#DIV/0!</v>
      </c>
      <c r="AA7" s="60" t="e">
        <f t="shared" si="11"/>
        <v>#DIV/0!</v>
      </c>
      <c r="AB7" s="60" t="e">
        <f t="shared" si="29"/>
        <v>#DIV/0!</v>
      </c>
      <c r="AC7" s="60" t="e">
        <f t="shared" si="12"/>
        <v>#DIV/0!</v>
      </c>
      <c r="AD7" s="60" t="e">
        <f t="shared" si="29"/>
        <v>#DIV/0!</v>
      </c>
      <c r="AE7" s="60" t="e">
        <f t="shared" si="13"/>
        <v>#DIV/0!</v>
      </c>
      <c r="AF7" s="60" t="e">
        <f t="shared" si="29"/>
        <v>#DIV/0!</v>
      </c>
      <c r="AH7" s="60">
        <v>25</v>
      </c>
      <c r="AI7" s="60" t="e">
        <f>(AI6+AI8)/2</f>
        <v>#DIV/0!</v>
      </c>
      <c r="AJ7" s="60" t="e">
        <f t="shared" si="14"/>
        <v>#DIV/0!</v>
      </c>
      <c r="AK7" s="60" t="e">
        <f t="shared" si="15"/>
        <v>#DIV/0!</v>
      </c>
      <c r="AL7" s="60" t="e">
        <f t="shared" si="14"/>
        <v>#DIV/0!</v>
      </c>
      <c r="AM7" s="60" t="e">
        <f>(AM6+AM8)/2</f>
        <v>#DIV/0!</v>
      </c>
      <c r="AN7" s="60" t="e">
        <f t="shared" si="16"/>
        <v>#DIV/0!</v>
      </c>
      <c r="AO7" s="60" t="e">
        <f t="shared" si="17"/>
        <v>#DIV/0!</v>
      </c>
      <c r="AP7" s="60" t="e">
        <f t="shared" si="18"/>
        <v>#DIV/0!</v>
      </c>
      <c r="AQ7" s="60" t="e">
        <f>(AQ6+AQ8)/2</f>
        <v>#DIV/0!</v>
      </c>
      <c r="AR7" s="60" t="e">
        <f t="shared" si="19"/>
        <v>#DIV/0!</v>
      </c>
      <c r="AS7" s="60" t="e">
        <f t="shared" si="20"/>
        <v>#DIV/0!</v>
      </c>
      <c r="AT7" s="60" t="e">
        <f t="shared" si="21"/>
        <v>#DIV/0!</v>
      </c>
      <c r="AU7" s="60" t="e">
        <f>(AU6+AU8)/2</f>
        <v>#DIV/0!</v>
      </c>
      <c r="AV7" s="60" t="e">
        <f t="shared" si="22"/>
        <v>#DIV/0!</v>
      </c>
      <c r="AW7" s="60" t="e">
        <f>(AW6+AW8)/2</f>
        <v>#DIV/0!</v>
      </c>
    </row>
    <row r="8" spans="1:49" x14ac:dyDescent="0.2">
      <c r="B8" s="60">
        <v>0</v>
      </c>
      <c r="C8" s="60" t="e">
        <f>IF($A$1=1,C119,IF($A$1=2,C169,IF($A$1=3,C219,IF($A$1=4,C269,IF($A$1=5,C319)))))</f>
        <v>#DIV/0!</v>
      </c>
      <c r="D8" s="60" t="e">
        <f t="shared" ref="D8:F8" si="31">E8*0.99</f>
        <v>#DIV/0!</v>
      </c>
      <c r="E8" s="60" t="e">
        <f t="shared" si="31"/>
        <v>#DIV/0!</v>
      </c>
      <c r="F8" s="60" t="e">
        <f t="shared" si="31"/>
        <v>#DIV/0!</v>
      </c>
      <c r="G8" s="60" t="e">
        <f>IF($A$1=1,D119,IF($A$1=2,D169,IF($A$1=3,D219,IF($A$1=4,D269,IF($A$1=5,D319)))))</f>
        <v>#DIV/0!</v>
      </c>
      <c r="H8" s="60" t="e">
        <f t="shared" si="2"/>
        <v>#DIV/0!</v>
      </c>
      <c r="I8" s="60" t="e">
        <f t="shared" si="3"/>
        <v>#DIV/0!</v>
      </c>
      <c r="J8" s="60" t="e">
        <f t="shared" si="4"/>
        <v>#DIV/0!</v>
      </c>
      <c r="K8" s="60" t="e">
        <f>IF($A$1=1,E119,IF($A$1=2,E169,IF($A$1=3,E219,IF($A$1=4,E269,IF($A$1=5,E319)))))</f>
        <v>#DIV/0!</v>
      </c>
      <c r="L8" s="60" t="e">
        <f t="shared" si="5"/>
        <v>#DIV/0!</v>
      </c>
      <c r="M8" s="60" t="e">
        <f t="shared" si="6"/>
        <v>#DIV/0!</v>
      </c>
      <c r="N8" s="60" t="e">
        <f t="shared" si="7"/>
        <v>#DIV/0!</v>
      </c>
      <c r="O8" s="60" t="e">
        <f>IF($A$1=1,F119,IF($A$1=2,F169,IF($A$1=3,F219,IF($A$1=4,F269,IF($A$1=5,F319)))))</f>
        <v>#DIV/0!</v>
      </c>
      <c r="P8" s="60" t="e">
        <f t="shared" si="8"/>
        <v>#DIV/0!</v>
      </c>
      <c r="Q8" s="60" t="e">
        <f t="shared" si="9"/>
        <v>#DIV/0!</v>
      </c>
      <c r="R8" s="60" t="e">
        <f t="shared" si="10"/>
        <v>#DIV/0!</v>
      </c>
      <c r="S8" s="60" t="e">
        <f>IF($A$1=1,G119,IF($A$1=2,G169,IF($A$1=3,G219,IF($A$1=4,G269,IF($A$1=5,G319)))))</f>
        <v>#DIV/0!</v>
      </c>
      <c r="U8" s="60">
        <v>80</v>
      </c>
      <c r="V8" s="60" t="e">
        <f>IF($A$1=1,J119,IF($A$1=2,J169,IF($A$1=3,J219,IF($A$1=4,J269,IF($A$1=5,J319)))))</f>
        <v>#DIV/0!</v>
      </c>
      <c r="W8" s="60" t="e">
        <f t="shared" ref="W8:Y8" si="32">X8*0.97</f>
        <v>#DIV/0!</v>
      </c>
      <c r="X8" s="60" t="e">
        <f t="shared" si="32"/>
        <v>#DIV/0!</v>
      </c>
      <c r="Y8" s="60" t="e">
        <f t="shared" si="32"/>
        <v>#DIV/0!</v>
      </c>
      <c r="Z8" s="60" t="e">
        <f>IF($A$1=1,K119,IF($A$1=2,K169,IF($A$1=3,K219,IF($A$1=4,K269,IF($A$1=5,K319)))))</f>
        <v>#DIV/0!</v>
      </c>
      <c r="AA8" s="60" t="e">
        <f t="shared" si="11"/>
        <v>#DIV/0!</v>
      </c>
      <c r="AB8" s="60" t="e">
        <f>IF($A$1=1,L119,IF($A$1=2,L169,IF($A$1=3,L219,IF($A$1=4,L269,IF($A$1=5,L319)))))</f>
        <v>#DIV/0!</v>
      </c>
      <c r="AC8" s="60" t="e">
        <f t="shared" si="12"/>
        <v>#DIV/0!</v>
      </c>
      <c r="AD8" s="60" t="e">
        <f>IF($A$1=1,M119,IF($A$1=2,M169,IF($A$1=3,M219,IF($A$1=4,M269,IF($A$1=5,M319)))))</f>
        <v>#DIV/0!</v>
      </c>
      <c r="AE8" s="60" t="e">
        <f t="shared" si="13"/>
        <v>#DIV/0!</v>
      </c>
      <c r="AF8" s="60" t="e">
        <f>IF($A$1=1,N119,IF($A$1=2,N169,IF($A$1=3,N219,IF($A$1=4,N269,IF($A$1=5,N319)))))</f>
        <v>#DIV/0!</v>
      </c>
      <c r="AH8" s="60">
        <v>30</v>
      </c>
      <c r="AI8" s="60" t="e">
        <f>IF($A$1=1,Q119,IF($A$1=2,Q169,IF($A$1=3,Q219,IF($A$1=4,Q269,IF($A$1=5,Q319)))))</f>
        <v>#DIV/0!</v>
      </c>
      <c r="AJ8" s="60" t="e">
        <f t="shared" si="14"/>
        <v>#DIV/0!</v>
      </c>
      <c r="AK8" s="60" t="e">
        <f t="shared" si="15"/>
        <v>#DIV/0!</v>
      </c>
      <c r="AL8" s="60" t="e">
        <f t="shared" si="14"/>
        <v>#DIV/0!</v>
      </c>
      <c r="AM8" s="60" t="e">
        <f>IF($A$1=1,R119,IF($A$1=2,R169,IF($A$1=3,R219,IF($A$1=4,R269,IF($A$1=5,R319)))))</f>
        <v>#DIV/0!</v>
      </c>
      <c r="AN8" s="60" t="e">
        <f t="shared" si="16"/>
        <v>#DIV/0!</v>
      </c>
      <c r="AO8" s="60" t="e">
        <f t="shared" si="17"/>
        <v>#DIV/0!</v>
      </c>
      <c r="AP8" s="60" t="e">
        <f t="shared" si="18"/>
        <v>#DIV/0!</v>
      </c>
      <c r="AQ8" s="60" t="e">
        <f>IF($A$1=1,S119,IF($A$1=2,S169,IF($A$1=3,S219,IF($A$1=4,S269,IF($A$1=5,S319)))))</f>
        <v>#DIV/0!</v>
      </c>
      <c r="AR8" s="60" t="e">
        <f t="shared" si="19"/>
        <v>#DIV/0!</v>
      </c>
      <c r="AS8" s="60" t="e">
        <f t="shared" si="20"/>
        <v>#DIV/0!</v>
      </c>
      <c r="AT8" s="60" t="e">
        <f t="shared" si="21"/>
        <v>#DIV/0!</v>
      </c>
      <c r="AU8" s="60" t="e">
        <f>IF($A$1=1,T119,IF($A$1=2,T169,IF($A$1=3,T219,IF($A$1=4,T269,IF($A$1=5,T319)))))</f>
        <v>#DIV/0!</v>
      </c>
      <c r="AV8" s="60" t="e">
        <f t="shared" si="22"/>
        <v>#DIV/0!</v>
      </c>
      <c r="AW8" s="60" t="e">
        <f>IF($A$1=1,U119,IF($A$1=2,U169,IF($A$1=3,U219,IF($A$1=4,U269,IF($A$1=5,U319)))))</f>
        <v>#DIV/0!</v>
      </c>
    </row>
    <row r="9" spans="1:49" x14ac:dyDescent="0.2">
      <c r="B9" s="60">
        <v>5</v>
      </c>
      <c r="C9" s="60" t="e">
        <f>(C8+C10)/2</f>
        <v>#DIV/0!</v>
      </c>
      <c r="D9" s="60" t="e">
        <f t="shared" ref="D9:F9" si="33">E9*0.99</f>
        <v>#DIV/0!</v>
      </c>
      <c r="E9" s="60" t="e">
        <f t="shared" si="33"/>
        <v>#DIV/0!</v>
      </c>
      <c r="F9" s="60" t="e">
        <f t="shared" si="33"/>
        <v>#DIV/0!</v>
      </c>
      <c r="G9" s="60" t="e">
        <f>(G8+G10)/2</f>
        <v>#DIV/0!</v>
      </c>
      <c r="H9" s="60" t="e">
        <f t="shared" si="2"/>
        <v>#DIV/0!</v>
      </c>
      <c r="I9" s="60" t="e">
        <f t="shared" si="3"/>
        <v>#DIV/0!</v>
      </c>
      <c r="J9" s="60" t="e">
        <f t="shared" si="4"/>
        <v>#DIV/0!</v>
      </c>
      <c r="K9" s="60" t="e">
        <f>(K8+K10)/2</f>
        <v>#DIV/0!</v>
      </c>
      <c r="L9" s="60" t="e">
        <f t="shared" si="5"/>
        <v>#DIV/0!</v>
      </c>
      <c r="M9" s="60" t="e">
        <f t="shared" si="6"/>
        <v>#DIV/0!</v>
      </c>
      <c r="N9" s="60" t="e">
        <f t="shared" si="7"/>
        <v>#DIV/0!</v>
      </c>
      <c r="O9" s="60" t="e">
        <f>(O8+O10)/2</f>
        <v>#DIV/0!</v>
      </c>
      <c r="P9" s="60" t="e">
        <f t="shared" si="8"/>
        <v>#DIV/0!</v>
      </c>
      <c r="Q9" s="60" t="e">
        <f t="shared" si="9"/>
        <v>#DIV/0!</v>
      </c>
      <c r="R9" s="60" t="e">
        <f t="shared" si="10"/>
        <v>#DIV/0!</v>
      </c>
      <c r="S9" s="60" t="e">
        <f>(S8+S10)/2</f>
        <v>#DIV/0!</v>
      </c>
      <c r="U9" s="60">
        <v>85</v>
      </c>
      <c r="V9" s="60" t="e">
        <f t="shared" ref="V9:AF9" si="34">(V8+V10)/2</f>
        <v>#DIV/0!</v>
      </c>
      <c r="W9" s="60" t="e">
        <f t="shared" ref="W9:Y9" si="35">X9*0.97</f>
        <v>#DIV/0!</v>
      </c>
      <c r="X9" s="60" t="e">
        <f t="shared" si="35"/>
        <v>#DIV/0!</v>
      </c>
      <c r="Y9" s="60" t="e">
        <f t="shared" si="35"/>
        <v>#DIV/0!</v>
      </c>
      <c r="Z9" s="60" t="e">
        <f t="shared" si="34"/>
        <v>#DIV/0!</v>
      </c>
      <c r="AA9" s="60" t="e">
        <f t="shared" si="11"/>
        <v>#DIV/0!</v>
      </c>
      <c r="AB9" s="60" t="e">
        <f t="shared" si="34"/>
        <v>#DIV/0!</v>
      </c>
      <c r="AC9" s="60" t="e">
        <f t="shared" si="12"/>
        <v>#DIV/0!</v>
      </c>
      <c r="AD9" s="60" t="e">
        <f t="shared" si="34"/>
        <v>#DIV/0!</v>
      </c>
      <c r="AE9" s="60" t="e">
        <f t="shared" si="13"/>
        <v>#DIV/0!</v>
      </c>
      <c r="AF9" s="60" t="e">
        <f t="shared" si="34"/>
        <v>#DIV/0!</v>
      </c>
      <c r="AH9" s="60">
        <v>35</v>
      </c>
      <c r="AI9" s="60" t="e">
        <f>(AI8+AI10)/2</f>
        <v>#DIV/0!</v>
      </c>
      <c r="AJ9" s="60" t="e">
        <f t="shared" si="14"/>
        <v>#DIV/0!</v>
      </c>
      <c r="AK9" s="60" t="e">
        <f t="shared" si="15"/>
        <v>#DIV/0!</v>
      </c>
      <c r="AL9" s="60" t="e">
        <f t="shared" si="14"/>
        <v>#DIV/0!</v>
      </c>
      <c r="AM9" s="60" t="e">
        <f>(AM8+AM10)/2</f>
        <v>#DIV/0!</v>
      </c>
      <c r="AN9" s="60" t="e">
        <f t="shared" si="16"/>
        <v>#DIV/0!</v>
      </c>
      <c r="AO9" s="60" t="e">
        <f t="shared" si="17"/>
        <v>#DIV/0!</v>
      </c>
      <c r="AP9" s="60" t="e">
        <f t="shared" si="18"/>
        <v>#DIV/0!</v>
      </c>
      <c r="AQ9" s="60" t="e">
        <f>(AQ8+AQ10)/2</f>
        <v>#DIV/0!</v>
      </c>
      <c r="AR9" s="60" t="e">
        <f t="shared" si="19"/>
        <v>#DIV/0!</v>
      </c>
      <c r="AS9" s="60" t="e">
        <f t="shared" si="20"/>
        <v>#DIV/0!</v>
      </c>
      <c r="AT9" s="60" t="e">
        <f t="shared" si="21"/>
        <v>#DIV/0!</v>
      </c>
      <c r="AU9" s="60" t="e">
        <f>(AU8+AU10)/2</f>
        <v>#DIV/0!</v>
      </c>
      <c r="AV9" s="60" t="e">
        <f t="shared" si="22"/>
        <v>#DIV/0!</v>
      </c>
      <c r="AW9" s="60" t="e">
        <f>(AW8+AW10)/2</f>
        <v>#DIV/0!</v>
      </c>
    </row>
    <row r="10" spans="1:49" x14ac:dyDescent="0.2">
      <c r="B10" s="60">
        <v>10</v>
      </c>
      <c r="C10" s="60" t="e">
        <f>IF($A$1=1,C120,IF($A$1=2,C170,IF($A$1=3,C220,IF($A$1=4,C270,IF($A$1=5,C320)))))</f>
        <v>#DIV/0!</v>
      </c>
      <c r="D10" s="60" t="e">
        <f t="shared" ref="D10:F10" si="36">E10*0.99</f>
        <v>#DIV/0!</v>
      </c>
      <c r="E10" s="60" t="e">
        <f t="shared" si="36"/>
        <v>#DIV/0!</v>
      </c>
      <c r="F10" s="60" t="e">
        <f t="shared" si="36"/>
        <v>#DIV/0!</v>
      </c>
      <c r="G10" s="60" t="e">
        <f>IF($A$1=1,D120,IF($A$1=2,D170,IF($A$1=3,D220,IF($A$1=4,D270,IF($A$1=5,D320)))))</f>
        <v>#DIV/0!</v>
      </c>
      <c r="H10" s="60" t="e">
        <f t="shared" si="2"/>
        <v>#DIV/0!</v>
      </c>
      <c r="I10" s="60" t="e">
        <f t="shared" si="3"/>
        <v>#DIV/0!</v>
      </c>
      <c r="J10" s="60" t="e">
        <f t="shared" si="4"/>
        <v>#DIV/0!</v>
      </c>
      <c r="K10" s="60" t="e">
        <f>IF($A$1=1,E120,IF($A$1=2,E170,IF($A$1=3,E220,IF($A$1=4,E270,IF($A$1=5,E320)))))</f>
        <v>#DIV/0!</v>
      </c>
      <c r="L10" s="60" t="e">
        <f t="shared" si="5"/>
        <v>#DIV/0!</v>
      </c>
      <c r="M10" s="60" t="e">
        <f t="shared" si="6"/>
        <v>#DIV/0!</v>
      </c>
      <c r="N10" s="60" t="e">
        <f t="shared" si="7"/>
        <v>#DIV/0!</v>
      </c>
      <c r="O10" s="60" t="e">
        <f>IF($A$1=1,F120,IF($A$1=2,F170,IF($A$1=3,F220,IF($A$1=4,F270,IF($A$1=5,F320)))))</f>
        <v>#DIV/0!</v>
      </c>
      <c r="P10" s="60" t="e">
        <f t="shared" si="8"/>
        <v>#DIV/0!</v>
      </c>
      <c r="Q10" s="60" t="e">
        <f t="shared" si="9"/>
        <v>#DIV/0!</v>
      </c>
      <c r="R10" s="60" t="e">
        <f t="shared" si="10"/>
        <v>#DIV/0!</v>
      </c>
      <c r="S10" s="60" t="e">
        <f>IF($A$1=1,G120,IF($A$1=2,G170,IF($A$1=3,G220,IF($A$1=4,G270,IF($A$1=5,G320)))))</f>
        <v>#DIV/0!</v>
      </c>
      <c r="U10" s="60">
        <v>90</v>
      </c>
      <c r="V10" s="60" t="e">
        <f>IF($A$1=1,J120,IF($A$1=2,J170,IF($A$1=3,J220,IF($A$1=4,J270,IF($A$1=5,J320)))))</f>
        <v>#DIV/0!</v>
      </c>
      <c r="W10" s="60" t="e">
        <f t="shared" ref="W10:Y10" si="37">X10*0.97</f>
        <v>#DIV/0!</v>
      </c>
      <c r="X10" s="60" t="e">
        <f t="shared" si="37"/>
        <v>#DIV/0!</v>
      </c>
      <c r="Y10" s="60" t="e">
        <f t="shared" si="37"/>
        <v>#DIV/0!</v>
      </c>
      <c r="Z10" s="60" t="e">
        <f>IF($A$1=1,K120,IF($A$1=2,K170,IF($A$1=3,K220,IF($A$1=4,K270,IF($A$1=5,K320)))))</f>
        <v>#DIV/0!</v>
      </c>
      <c r="AA10" s="60" t="e">
        <f t="shared" si="11"/>
        <v>#DIV/0!</v>
      </c>
      <c r="AB10" s="60" t="e">
        <f>IF($A$1=1,L120,IF($A$1=2,L170,IF($A$1=3,L220,IF($A$1=4,L270,IF($A$1=5,L320)))))</f>
        <v>#DIV/0!</v>
      </c>
      <c r="AC10" s="60" t="e">
        <f t="shared" si="12"/>
        <v>#DIV/0!</v>
      </c>
      <c r="AD10" s="60" t="e">
        <f>IF($A$1=1,M120,IF($A$1=2,M170,IF($A$1=3,M220,IF($A$1=4,M270,IF($A$1=5,M320)))))</f>
        <v>#DIV/0!</v>
      </c>
      <c r="AE10" s="60" t="e">
        <f t="shared" si="13"/>
        <v>#DIV/0!</v>
      </c>
      <c r="AF10" s="60" t="e">
        <f>IF($A$1=1,N120,IF($A$1=2,N170,IF($A$1=3,N220,IF($A$1=4,N270,IF($A$1=5,N320)))))</f>
        <v>#DIV/0!</v>
      </c>
      <c r="AH10" s="60">
        <v>40</v>
      </c>
      <c r="AI10" s="60" t="e">
        <f>IF($A$1=1,Q120,IF($A$1=2,Q170,IF($A$1=3,Q220,IF($A$1=4,Q270,IF($A$1=5,Q320)))))</f>
        <v>#DIV/0!</v>
      </c>
      <c r="AJ10" s="60" t="e">
        <f t="shared" si="14"/>
        <v>#DIV/0!</v>
      </c>
      <c r="AK10" s="60" t="e">
        <f t="shared" si="15"/>
        <v>#DIV/0!</v>
      </c>
      <c r="AL10" s="60" t="e">
        <f t="shared" si="14"/>
        <v>#DIV/0!</v>
      </c>
      <c r="AM10" s="60" t="e">
        <f>IF($A$1=1,R120,IF($A$1=2,R170,IF($A$1=3,R220,IF($A$1=4,R270,IF($A$1=5,R320)))))</f>
        <v>#DIV/0!</v>
      </c>
      <c r="AN10" s="60" t="e">
        <f t="shared" si="16"/>
        <v>#DIV/0!</v>
      </c>
      <c r="AO10" s="60" t="e">
        <f t="shared" si="17"/>
        <v>#DIV/0!</v>
      </c>
      <c r="AP10" s="60" t="e">
        <f t="shared" si="18"/>
        <v>#DIV/0!</v>
      </c>
      <c r="AQ10" s="60" t="e">
        <f>IF($A$1=1,S120,IF($A$1=2,S170,IF($A$1=3,S220,IF($A$1=4,S270,IF($A$1=5,S320)))))</f>
        <v>#DIV/0!</v>
      </c>
      <c r="AR10" s="60" t="e">
        <f t="shared" si="19"/>
        <v>#DIV/0!</v>
      </c>
      <c r="AS10" s="60" t="e">
        <f t="shared" si="20"/>
        <v>#DIV/0!</v>
      </c>
      <c r="AT10" s="60" t="e">
        <f t="shared" si="21"/>
        <v>#DIV/0!</v>
      </c>
      <c r="AU10" s="60" t="e">
        <f>IF($A$1=1,T120,IF($A$1=2,T170,IF($A$1=3,T220,IF($A$1=4,T270,IF($A$1=5,T320)))))</f>
        <v>#DIV/0!</v>
      </c>
      <c r="AV10" s="60" t="e">
        <f t="shared" si="22"/>
        <v>#DIV/0!</v>
      </c>
      <c r="AW10" s="60" t="e">
        <f>IF($A$1=1,U120,IF($A$1=2,U170,IF($A$1=3,U220,IF($A$1=4,U270,IF($A$1=5,U320)))))</f>
        <v>#DIV/0!</v>
      </c>
    </row>
    <row r="11" spans="1:49" x14ac:dyDescent="0.2">
      <c r="B11" s="60">
        <v>15</v>
      </c>
      <c r="C11" s="60" t="e">
        <f>(C10+C12)/2</f>
        <v>#DIV/0!</v>
      </c>
      <c r="D11" s="60" t="e">
        <f t="shared" ref="D11:F11" si="38">E11*0.99</f>
        <v>#DIV/0!</v>
      </c>
      <c r="E11" s="60" t="e">
        <f t="shared" si="38"/>
        <v>#DIV/0!</v>
      </c>
      <c r="F11" s="60" t="e">
        <f t="shared" si="38"/>
        <v>#DIV/0!</v>
      </c>
      <c r="G11" s="60" t="e">
        <f>(G10+G12)/2</f>
        <v>#DIV/0!</v>
      </c>
      <c r="H11" s="60" t="e">
        <f t="shared" si="2"/>
        <v>#DIV/0!</v>
      </c>
      <c r="I11" s="60" t="e">
        <f t="shared" si="3"/>
        <v>#DIV/0!</v>
      </c>
      <c r="J11" s="60" t="e">
        <f t="shared" si="4"/>
        <v>#DIV/0!</v>
      </c>
      <c r="K11" s="60" t="e">
        <f>(K10+K12)/2</f>
        <v>#DIV/0!</v>
      </c>
      <c r="L11" s="60" t="e">
        <f t="shared" si="5"/>
        <v>#DIV/0!</v>
      </c>
      <c r="M11" s="60" t="e">
        <f t="shared" si="6"/>
        <v>#DIV/0!</v>
      </c>
      <c r="N11" s="60" t="e">
        <f t="shared" si="7"/>
        <v>#DIV/0!</v>
      </c>
      <c r="O11" s="60" t="e">
        <f>(O10+O12)/2</f>
        <v>#DIV/0!</v>
      </c>
      <c r="P11" s="60" t="e">
        <f t="shared" si="8"/>
        <v>#DIV/0!</v>
      </c>
      <c r="Q11" s="60" t="e">
        <f t="shared" si="9"/>
        <v>#DIV/0!</v>
      </c>
      <c r="R11" s="60" t="e">
        <f t="shared" si="10"/>
        <v>#DIV/0!</v>
      </c>
      <c r="S11" s="60" t="e">
        <f>(S10+S12)/2</f>
        <v>#DIV/0!</v>
      </c>
      <c r="U11" s="60">
        <v>95</v>
      </c>
      <c r="V11" s="60" t="e">
        <f t="shared" ref="V11:AF11" si="39">(V10+V12)/2</f>
        <v>#DIV/0!</v>
      </c>
      <c r="W11" s="60" t="e">
        <f t="shared" ref="W11:Y11" si="40">X11*0.97</f>
        <v>#DIV/0!</v>
      </c>
      <c r="X11" s="60" t="e">
        <f t="shared" si="40"/>
        <v>#DIV/0!</v>
      </c>
      <c r="Y11" s="60" t="e">
        <f t="shared" si="40"/>
        <v>#DIV/0!</v>
      </c>
      <c r="Z11" s="60" t="e">
        <f t="shared" si="39"/>
        <v>#DIV/0!</v>
      </c>
      <c r="AA11" s="60" t="e">
        <f t="shared" si="11"/>
        <v>#DIV/0!</v>
      </c>
      <c r="AB11" s="60" t="e">
        <f t="shared" si="39"/>
        <v>#DIV/0!</v>
      </c>
      <c r="AC11" s="60" t="e">
        <f t="shared" si="12"/>
        <v>#DIV/0!</v>
      </c>
      <c r="AD11" s="60" t="e">
        <f t="shared" si="39"/>
        <v>#DIV/0!</v>
      </c>
      <c r="AE11" s="60" t="e">
        <f t="shared" si="13"/>
        <v>#DIV/0!</v>
      </c>
      <c r="AF11" s="60" t="e">
        <f t="shared" si="39"/>
        <v>#DIV/0!</v>
      </c>
      <c r="AH11" s="60">
        <v>45</v>
      </c>
      <c r="AI11" s="60" t="e">
        <f>(AI10+AI12)/2</f>
        <v>#DIV/0!</v>
      </c>
      <c r="AJ11" s="60" t="e">
        <f t="shared" si="14"/>
        <v>#DIV/0!</v>
      </c>
      <c r="AK11" s="60" t="e">
        <f t="shared" si="15"/>
        <v>#DIV/0!</v>
      </c>
      <c r="AL11" s="60" t="e">
        <f t="shared" si="14"/>
        <v>#DIV/0!</v>
      </c>
      <c r="AM11" s="60" t="e">
        <f>(AM10+AM12)/2</f>
        <v>#DIV/0!</v>
      </c>
      <c r="AN11" s="60" t="e">
        <f t="shared" si="16"/>
        <v>#DIV/0!</v>
      </c>
      <c r="AO11" s="60" t="e">
        <f t="shared" si="17"/>
        <v>#DIV/0!</v>
      </c>
      <c r="AP11" s="60" t="e">
        <f t="shared" si="18"/>
        <v>#DIV/0!</v>
      </c>
      <c r="AQ11" s="60" t="e">
        <f>(AQ10+AQ12)/2</f>
        <v>#DIV/0!</v>
      </c>
      <c r="AR11" s="60" t="e">
        <f t="shared" si="19"/>
        <v>#DIV/0!</v>
      </c>
      <c r="AS11" s="60" t="e">
        <f t="shared" si="20"/>
        <v>#DIV/0!</v>
      </c>
      <c r="AT11" s="60" t="e">
        <f t="shared" si="21"/>
        <v>#DIV/0!</v>
      </c>
      <c r="AU11" s="60" t="e">
        <f>IF($A$1=1,T121,IF($A$1=2,T171,IF($A$1=3,T221,IF($A$1=4,T271,IF($A$1=5,T321)))))</f>
        <v>#DIV/0!</v>
      </c>
      <c r="AV11" s="60" t="e">
        <f t="shared" si="22"/>
        <v>#DIV/0!</v>
      </c>
      <c r="AW11" s="60" t="e">
        <f>IF($A$1=1,U121,IF($A$1=2,U171,IF($A$1=3,U221,IF($A$1=4,U271,IF($A$1=5,U321)))))</f>
        <v>#DIV/0!</v>
      </c>
    </row>
    <row r="12" spans="1:49" x14ac:dyDescent="0.2">
      <c r="B12" s="60">
        <v>20</v>
      </c>
      <c r="C12" s="60" t="e">
        <f>IF($A$1=1,C121,IF($A$1=2,C171,IF($A$1=3,C221,IF($A$1=4,C271,IF($A$1=5,C321)))))</f>
        <v>#DIV/0!</v>
      </c>
      <c r="D12" s="60" t="e">
        <f t="shared" ref="D12:F12" si="41">E12*0.99</f>
        <v>#DIV/0!</v>
      </c>
      <c r="E12" s="60" t="e">
        <f t="shared" si="41"/>
        <v>#DIV/0!</v>
      </c>
      <c r="F12" s="60" t="e">
        <f t="shared" si="41"/>
        <v>#DIV/0!</v>
      </c>
      <c r="G12" s="60" t="e">
        <f>IF($A$1=1,D121,IF($A$1=2,D171,IF($A$1=3,D221,IF($A$1=4,D271,IF($A$1=5,D321)))))</f>
        <v>#DIV/0!</v>
      </c>
      <c r="H12" s="60" t="e">
        <f t="shared" si="2"/>
        <v>#DIV/0!</v>
      </c>
      <c r="I12" s="60" t="e">
        <f t="shared" si="3"/>
        <v>#DIV/0!</v>
      </c>
      <c r="J12" s="60" t="e">
        <f t="shared" si="4"/>
        <v>#DIV/0!</v>
      </c>
      <c r="K12" s="60" t="e">
        <f>IF($A$1=1,E121,IF($A$1=2,E171,IF($A$1=3,E221,IF($A$1=4,E271,IF($A$1=5,E321)))))</f>
        <v>#DIV/0!</v>
      </c>
      <c r="L12" s="60" t="e">
        <f t="shared" si="5"/>
        <v>#DIV/0!</v>
      </c>
      <c r="M12" s="60" t="e">
        <f t="shared" si="6"/>
        <v>#DIV/0!</v>
      </c>
      <c r="N12" s="60" t="e">
        <f t="shared" si="7"/>
        <v>#DIV/0!</v>
      </c>
      <c r="O12" s="60" t="e">
        <f>IF($A$1=1,F121,IF($A$1=2,F171,IF($A$1=3,F221,IF($A$1=4,F271,IF($A$1=5,F321)))))</f>
        <v>#DIV/0!</v>
      </c>
      <c r="P12" s="60" t="e">
        <f t="shared" si="8"/>
        <v>#DIV/0!</v>
      </c>
      <c r="Q12" s="60" t="e">
        <f t="shared" si="9"/>
        <v>#DIV/0!</v>
      </c>
      <c r="R12" s="60" t="e">
        <f t="shared" si="10"/>
        <v>#DIV/0!</v>
      </c>
      <c r="S12" s="60" t="e">
        <f>IF($A$1=1,G121,IF($A$1=2,G171,IF($A$1=3,G221,IF($A$1=4,G271,IF($A$1=5,G321)))))</f>
        <v>#DIV/0!</v>
      </c>
      <c r="U12" s="60">
        <v>100</v>
      </c>
      <c r="V12" s="60" t="e">
        <f>IF($A$1=1,J121,IF($A$1=2,J171,IF($A$1=3,J221,IF($A$1=4,J271,IF($A$1=5,J321)))))</f>
        <v>#DIV/0!</v>
      </c>
      <c r="W12" s="60" t="e">
        <f t="shared" ref="W12:Y12" si="42">X12*0.97</f>
        <v>#DIV/0!</v>
      </c>
      <c r="X12" s="60" t="e">
        <f t="shared" si="42"/>
        <v>#DIV/0!</v>
      </c>
      <c r="Y12" s="60" t="e">
        <f t="shared" si="42"/>
        <v>#DIV/0!</v>
      </c>
      <c r="Z12" s="60" t="e">
        <f>IF($A$1=1,K121,IF($A$1=2,K171,IF($A$1=3,K221,IF($A$1=4,K271,IF($A$1=5,K321)))))</f>
        <v>#DIV/0!</v>
      </c>
      <c r="AA12" s="60" t="e">
        <f t="shared" si="11"/>
        <v>#DIV/0!</v>
      </c>
      <c r="AB12" s="60" t="e">
        <f>IF($A$1=1,L121,IF($A$1=2,L171,IF($A$1=3,L221,IF($A$1=4,L271,IF($A$1=5,L321)))))</f>
        <v>#DIV/0!</v>
      </c>
      <c r="AC12" s="60" t="e">
        <f t="shared" si="12"/>
        <v>#DIV/0!</v>
      </c>
      <c r="AD12" s="60" t="e">
        <f>IF($A$1=1,M121,IF($A$1=2,M171,IF($A$1=3,M221,IF($A$1=4,M271,IF($A$1=5,M321)))))</f>
        <v>#DIV/0!</v>
      </c>
      <c r="AE12" s="60" t="e">
        <f t="shared" si="13"/>
        <v>#DIV/0!</v>
      </c>
      <c r="AF12" s="60" t="e">
        <f>IF($A$1=1,N121,IF($A$1=2,N171,IF($A$1=3,N221,IF($A$1=4,N271,IF($A$1=5,N321)))))</f>
        <v>#DIV/0!</v>
      </c>
      <c r="AH12" s="60">
        <v>50</v>
      </c>
      <c r="AI12" s="60" t="e">
        <f>IF($A$1=1,Q121,IF($A$1=2,Q171,IF($A$1=3,Q221,IF($A$1=4,Q271,IF($A$1=5,Q321)))))</f>
        <v>#DIV/0!</v>
      </c>
      <c r="AJ12" s="60" t="e">
        <f t="shared" si="14"/>
        <v>#DIV/0!</v>
      </c>
      <c r="AK12" s="60" t="e">
        <f t="shared" si="15"/>
        <v>#DIV/0!</v>
      </c>
      <c r="AL12" s="60" t="e">
        <f t="shared" si="14"/>
        <v>#DIV/0!</v>
      </c>
      <c r="AM12" s="60" t="e">
        <f>IF($A$1=1,R121,IF($A$1=2,R171,IF($A$1=3,R221,IF($A$1=4,R271,IF($A$1=5,R321)))))</f>
        <v>#DIV/0!</v>
      </c>
      <c r="AN12" s="60" t="e">
        <f t="shared" si="16"/>
        <v>#DIV/0!</v>
      </c>
      <c r="AO12" s="60" t="e">
        <f t="shared" si="17"/>
        <v>#DIV/0!</v>
      </c>
      <c r="AP12" s="60" t="e">
        <f t="shared" si="18"/>
        <v>#DIV/0!</v>
      </c>
      <c r="AQ12" s="60" t="e">
        <f>IF($A$1=1,S121,IF($A$1=2,S171,IF($A$1=3,S221,IF($A$1=4,S271,IF($A$1=5,S321)))))</f>
        <v>#DIV/0!</v>
      </c>
      <c r="AR12" s="60" t="e">
        <f t="shared" si="19"/>
        <v>#DIV/0!</v>
      </c>
      <c r="AS12" s="60" t="e">
        <f t="shared" si="20"/>
        <v>#DIV/0!</v>
      </c>
      <c r="AT12" s="60" t="e">
        <f t="shared" si="21"/>
        <v>#DIV/0!</v>
      </c>
      <c r="AU12" s="60" t="e">
        <f>IF($A$1=1,T121,IF($A$1=2,T171,IF($A$1=3,T221,IF($A$1=4,T271,IF($A$1=5,T321)))))</f>
        <v>#DIV/0!</v>
      </c>
      <c r="AV12" s="60" t="e">
        <f t="shared" si="22"/>
        <v>#DIV/0!</v>
      </c>
      <c r="AW12" s="60" t="e">
        <f>IF($A$1=1,U121,IF($A$1=2,U171,IF($A$1=3,U221,IF($A$1=4,U271,IF($A$1=5,U321)))))</f>
        <v>#DIV/0!</v>
      </c>
    </row>
    <row r="13" spans="1:49" x14ac:dyDescent="0.2">
      <c r="B13" s="60">
        <v>25</v>
      </c>
      <c r="C13" s="60" t="e">
        <f>(C12+C14)/2</f>
        <v>#DIV/0!</v>
      </c>
      <c r="D13" s="60" t="e">
        <f t="shared" ref="D13:F13" si="43">E13*0.99</f>
        <v>#DIV/0!</v>
      </c>
      <c r="E13" s="60" t="e">
        <f t="shared" si="43"/>
        <v>#DIV/0!</v>
      </c>
      <c r="F13" s="60" t="e">
        <f t="shared" si="43"/>
        <v>#DIV/0!</v>
      </c>
      <c r="G13" s="60" t="e">
        <f>(G12+G14)/2</f>
        <v>#DIV/0!</v>
      </c>
      <c r="H13" s="60" t="e">
        <f t="shared" si="2"/>
        <v>#DIV/0!</v>
      </c>
      <c r="I13" s="60" t="e">
        <f t="shared" si="3"/>
        <v>#DIV/0!</v>
      </c>
      <c r="J13" s="60" t="e">
        <f t="shared" si="4"/>
        <v>#DIV/0!</v>
      </c>
      <c r="K13" s="60" t="e">
        <f>(K12+K14)/2</f>
        <v>#DIV/0!</v>
      </c>
      <c r="L13" s="60" t="e">
        <f t="shared" si="5"/>
        <v>#DIV/0!</v>
      </c>
      <c r="M13" s="60" t="e">
        <f t="shared" si="6"/>
        <v>#DIV/0!</v>
      </c>
      <c r="N13" s="60" t="e">
        <f t="shared" si="7"/>
        <v>#DIV/0!</v>
      </c>
      <c r="O13" s="60" t="e">
        <f>(O12+O14)/2</f>
        <v>#DIV/0!</v>
      </c>
      <c r="P13" s="60" t="e">
        <f t="shared" si="8"/>
        <v>#DIV/0!</v>
      </c>
      <c r="Q13" s="60" t="e">
        <f t="shared" si="9"/>
        <v>#DIV/0!</v>
      </c>
      <c r="R13" s="60" t="e">
        <f t="shared" si="10"/>
        <v>#DIV/0!</v>
      </c>
      <c r="S13" s="60" t="e">
        <f>(S12+S14)/2</f>
        <v>#DIV/0!</v>
      </c>
      <c r="U13" s="60">
        <v>105</v>
      </c>
      <c r="V13" s="60" t="e">
        <f t="shared" ref="V13:AF13" si="44">(V12+V14)/2</f>
        <v>#DIV/0!</v>
      </c>
      <c r="W13" s="60" t="e">
        <f t="shared" ref="W13:Y13" si="45">X13*0.97</f>
        <v>#DIV/0!</v>
      </c>
      <c r="X13" s="60" t="e">
        <f t="shared" si="45"/>
        <v>#DIV/0!</v>
      </c>
      <c r="Y13" s="60" t="e">
        <f t="shared" si="45"/>
        <v>#DIV/0!</v>
      </c>
      <c r="Z13" s="60" t="e">
        <f t="shared" si="44"/>
        <v>#DIV/0!</v>
      </c>
      <c r="AA13" s="60" t="e">
        <f t="shared" si="11"/>
        <v>#DIV/0!</v>
      </c>
      <c r="AB13" s="60" t="e">
        <f t="shared" si="44"/>
        <v>#DIV/0!</v>
      </c>
      <c r="AC13" s="60" t="e">
        <f t="shared" si="12"/>
        <v>#DIV/0!</v>
      </c>
      <c r="AD13" s="60" t="e">
        <f t="shared" si="44"/>
        <v>#DIV/0!</v>
      </c>
      <c r="AE13" s="60" t="e">
        <f t="shared" si="13"/>
        <v>#DIV/0!</v>
      </c>
      <c r="AF13" s="60" t="e">
        <f t="shared" si="44"/>
        <v>#DIV/0!</v>
      </c>
      <c r="AH13" s="60">
        <v>55</v>
      </c>
      <c r="AI13" s="60" t="e">
        <f>(AI12+AI14)/2</f>
        <v>#DIV/0!</v>
      </c>
      <c r="AJ13" s="60" t="e">
        <f t="shared" si="14"/>
        <v>#DIV/0!</v>
      </c>
      <c r="AK13" s="60" t="e">
        <f t="shared" si="15"/>
        <v>#DIV/0!</v>
      </c>
      <c r="AL13" s="60" t="e">
        <f t="shared" si="14"/>
        <v>#DIV/0!</v>
      </c>
      <c r="AM13" s="60" t="e">
        <f>(AM12+AM14)/2</f>
        <v>#DIV/0!</v>
      </c>
      <c r="AN13" s="60" t="e">
        <f t="shared" si="16"/>
        <v>#DIV/0!</v>
      </c>
      <c r="AO13" s="60" t="e">
        <f t="shared" si="17"/>
        <v>#DIV/0!</v>
      </c>
      <c r="AP13" s="60" t="e">
        <f t="shared" si="18"/>
        <v>#DIV/0!</v>
      </c>
      <c r="AQ13" s="60" t="e">
        <f>(AQ12+AQ14)/2</f>
        <v>#DIV/0!</v>
      </c>
      <c r="AR13" s="60" t="e">
        <f t="shared" si="19"/>
        <v>#DIV/0!</v>
      </c>
      <c r="AS13" s="60" t="e">
        <f t="shared" si="20"/>
        <v>#DIV/0!</v>
      </c>
      <c r="AT13" s="60" t="e">
        <f t="shared" si="21"/>
        <v>#DIV/0!</v>
      </c>
      <c r="AU13" s="60" t="e">
        <f>(AU12+AU14)/2</f>
        <v>#DIV/0!</v>
      </c>
      <c r="AV13" s="60" t="e">
        <f t="shared" si="22"/>
        <v>#DIV/0!</v>
      </c>
      <c r="AW13" s="60" t="e">
        <f>(AW12+AW14)/2</f>
        <v>#DIV/0!</v>
      </c>
    </row>
    <row r="14" spans="1:49" x14ac:dyDescent="0.2">
      <c r="B14" s="60">
        <v>30</v>
      </c>
      <c r="C14" s="60" t="e">
        <f>IF($A$1=1,C122,IF($A$1=2,C172,IF($A$1=3,C222,IF($A$1=4,C272,IF($A$1=5,C322)))))</f>
        <v>#DIV/0!</v>
      </c>
      <c r="D14" s="60" t="e">
        <f t="shared" ref="D14:F14" si="46">E14*0.99</f>
        <v>#DIV/0!</v>
      </c>
      <c r="E14" s="60" t="e">
        <f t="shared" si="46"/>
        <v>#DIV/0!</v>
      </c>
      <c r="F14" s="60" t="e">
        <f t="shared" si="46"/>
        <v>#DIV/0!</v>
      </c>
      <c r="G14" s="60" t="e">
        <f>IF($A$1=1,D122,IF($A$1=2,D172,IF($A$1=3,D222,IF($A$1=4,D272,IF($A$1=5,D322)))))</f>
        <v>#DIV/0!</v>
      </c>
      <c r="H14" s="60" t="e">
        <f t="shared" si="2"/>
        <v>#DIV/0!</v>
      </c>
      <c r="I14" s="60" t="e">
        <f t="shared" si="3"/>
        <v>#DIV/0!</v>
      </c>
      <c r="J14" s="60" t="e">
        <f t="shared" si="4"/>
        <v>#DIV/0!</v>
      </c>
      <c r="K14" s="60" t="e">
        <f>IF($A$1=1,E122,IF($A$1=2,E172,IF($A$1=3,E222,IF($A$1=4,E272,IF($A$1=5,E322)))))</f>
        <v>#DIV/0!</v>
      </c>
      <c r="L14" s="60" t="e">
        <f t="shared" si="5"/>
        <v>#DIV/0!</v>
      </c>
      <c r="M14" s="60" t="e">
        <f t="shared" si="6"/>
        <v>#DIV/0!</v>
      </c>
      <c r="N14" s="60" t="e">
        <f t="shared" si="7"/>
        <v>#DIV/0!</v>
      </c>
      <c r="O14" s="60" t="e">
        <f>IF($A$1=1,F122,IF($A$1=2,F172,IF($A$1=3,F222,IF($A$1=4,F272,IF($A$1=5,F322)))))</f>
        <v>#DIV/0!</v>
      </c>
      <c r="P14" s="60" t="e">
        <f t="shared" si="8"/>
        <v>#DIV/0!</v>
      </c>
      <c r="Q14" s="60" t="e">
        <f t="shared" si="9"/>
        <v>#DIV/0!</v>
      </c>
      <c r="R14" s="60" t="e">
        <f t="shared" si="10"/>
        <v>#DIV/0!</v>
      </c>
      <c r="S14" s="60" t="e">
        <f>IF($A$1=1,G122,IF($A$1=2,G172,IF($A$1=3,G222,IF($A$1=4,G272,IF($A$1=5,G322)))))</f>
        <v>#DIV/0!</v>
      </c>
      <c r="U14" s="60">
        <v>110</v>
      </c>
      <c r="V14" s="60" t="e">
        <f>IF($A$1=1,J122,IF($A$1=2,J172,IF($A$1=3,J222,IF($A$1=4,J272,IF($A$1=5,J322)))))</f>
        <v>#DIV/0!</v>
      </c>
      <c r="W14" s="60" t="e">
        <f t="shared" ref="W14:Y14" si="47">X14*0.97</f>
        <v>#DIV/0!</v>
      </c>
      <c r="X14" s="60" t="e">
        <f t="shared" si="47"/>
        <v>#DIV/0!</v>
      </c>
      <c r="Y14" s="60" t="e">
        <f t="shared" si="47"/>
        <v>#DIV/0!</v>
      </c>
      <c r="Z14" s="60" t="e">
        <f>IF($A$1=1,K122,IF($A$1=2,K172,IF($A$1=3,K222,IF($A$1=4,K272,IF($A$1=5,K322)))))</f>
        <v>#DIV/0!</v>
      </c>
      <c r="AA14" s="60" t="e">
        <f t="shared" si="11"/>
        <v>#DIV/0!</v>
      </c>
      <c r="AB14" s="60" t="e">
        <f>IF($A$1=1,L122,IF($A$1=2,L172,IF($A$1=3,L222,IF($A$1=4,L272,IF($A$1=5,L322)))))</f>
        <v>#DIV/0!</v>
      </c>
      <c r="AC14" s="60" t="e">
        <f t="shared" si="12"/>
        <v>#DIV/0!</v>
      </c>
      <c r="AD14" s="60" t="e">
        <f>IF($A$1=1,M122,IF($A$1=2,M172,IF($A$1=3,M222,IF($A$1=4,M272,IF($A$1=5,M322)))))</f>
        <v>#DIV/0!</v>
      </c>
      <c r="AE14" s="60" t="e">
        <f t="shared" si="13"/>
        <v>#DIV/0!</v>
      </c>
      <c r="AF14" s="60" t="e">
        <f>IF($A$1=1,N122,IF($A$1=2,N172,IF($A$1=3,N222,IF($A$1=4,N272,IF($A$1=5,N322)))))</f>
        <v>#DIV/0!</v>
      </c>
      <c r="AH14" s="60">
        <v>60</v>
      </c>
      <c r="AI14" s="60" t="e">
        <f>IF($A$1=1,Q122,IF($A$1=2,Q172,IF($A$1=3,Q222,IF($A$1=4,Q272,IF($A$1=5,Q322)))))</f>
        <v>#DIV/0!</v>
      </c>
      <c r="AJ14" s="60" t="e">
        <f t="shared" si="14"/>
        <v>#DIV/0!</v>
      </c>
      <c r="AK14" s="60" t="e">
        <f t="shared" si="15"/>
        <v>#DIV/0!</v>
      </c>
      <c r="AL14" s="60" t="e">
        <f t="shared" si="14"/>
        <v>#DIV/0!</v>
      </c>
      <c r="AM14" s="60" t="e">
        <f>IF($A$1=1,R122,IF($A$1=2,R172,IF($A$1=3,R222,IF($A$1=4,R272,IF($A$1=5,R322)))))</f>
        <v>#DIV/0!</v>
      </c>
      <c r="AN14" s="60" t="e">
        <f t="shared" si="16"/>
        <v>#DIV/0!</v>
      </c>
      <c r="AO14" s="60" t="e">
        <f t="shared" si="17"/>
        <v>#DIV/0!</v>
      </c>
      <c r="AP14" s="60" t="e">
        <f t="shared" si="18"/>
        <v>#DIV/0!</v>
      </c>
      <c r="AQ14" s="60" t="e">
        <f>IF($A$1=1,S122,IF($A$1=2,S172,IF($A$1=3,S222,IF($A$1=4,S272,IF($A$1=5,S322)))))</f>
        <v>#DIV/0!</v>
      </c>
      <c r="AR14" s="60" t="e">
        <f t="shared" si="19"/>
        <v>#DIV/0!</v>
      </c>
      <c r="AS14" s="60" t="e">
        <f t="shared" si="20"/>
        <v>#DIV/0!</v>
      </c>
      <c r="AT14" s="60" t="e">
        <f t="shared" si="21"/>
        <v>#DIV/0!</v>
      </c>
      <c r="AU14" s="60" t="e">
        <f>IF($A$1=1,T122,IF($A$1=2,T172,IF($A$1=3,T222,IF($A$1=4,T272,IF($A$1=5,T322)))))</f>
        <v>#DIV/0!</v>
      </c>
      <c r="AV14" s="60" t="e">
        <f t="shared" si="22"/>
        <v>#DIV/0!</v>
      </c>
      <c r="AW14" s="60" t="e">
        <f>IF($A$1=1,U122,IF($A$1=2,U172,IF($A$1=3,U222,IF($A$1=4,U272,IF($A$1=5,U322)))))</f>
        <v>#DIV/0!</v>
      </c>
    </row>
    <row r="15" spans="1:49" x14ac:dyDescent="0.2">
      <c r="B15" s="60">
        <v>35</v>
      </c>
      <c r="C15" s="60" t="e">
        <f>(C14+C16)/2</f>
        <v>#DIV/0!</v>
      </c>
      <c r="D15" s="60" t="e">
        <f t="shared" ref="D15:F15" si="48">E15*0.99</f>
        <v>#DIV/0!</v>
      </c>
      <c r="E15" s="60" t="e">
        <f t="shared" si="48"/>
        <v>#DIV/0!</v>
      </c>
      <c r="F15" s="60" t="e">
        <f t="shared" si="48"/>
        <v>#DIV/0!</v>
      </c>
      <c r="G15" s="60" t="e">
        <f>(G14+G16)/2</f>
        <v>#DIV/0!</v>
      </c>
      <c r="H15" s="60" t="e">
        <f t="shared" si="2"/>
        <v>#DIV/0!</v>
      </c>
      <c r="I15" s="60" t="e">
        <f t="shared" si="3"/>
        <v>#DIV/0!</v>
      </c>
      <c r="J15" s="60" t="e">
        <f t="shared" si="4"/>
        <v>#DIV/0!</v>
      </c>
      <c r="K15" s="60" t="e">
        <f>(K14+K16)/2</f>
        <v>#DIV/0!</v>
      </c>
      <c r="L15" s="60" t="e">
        <f t="shared" si="5"/>
        <v>#DIV/0!</v>
      </c>
      <c r="M15" s="60" t="e">
        <f t="shared" si="6"/>
        <v>#DIV/0!</v>
      </c>
      <c r="N15" s="60" t="e">
        <f t="shared" si="7"/>
        <v>#DIV/0!</v>
      </c>
      <c r="O15" s="60" t="e">
        <f>(O14+O16)/2</f>
        <v>#DIV/0!</v>
      </c>
      <c r="P15" s="60" t="e">
        <f t="shared" si="8"/>
        <v>#DIV/0!</v>
      </c>
      <c r="Q15" s="60" t="e">
        <f t="shared" si="9"/>
        <v>#DIV/0!</v>
      </c>
      <c r="R15" s="60" t="e">
        <f t="shared" si="10"/>
        <v>#DIV/0!</v>
      </c>
      <c r="S15" s="60" t="e">
        <f>(S14+S16)/2</f>
        <v>#DIV/0!</v>
      </c>
      <c r="U15" s="60">
        <v>115</v>
      </c>
      <c r="V15" s="60" t="e">
        <f t="shared" ref="V15:AF15" si="49">(V14+V16)/2</f>
        <v>#DIV/0!</v>
      </c>
      <c r="W15" s="60" t="e">
        <f t="shared" ref="W15:Y15" si="50">X15*0.97</f>
        <v>#DIV/0!</v>
      </c>
      <c r="X15" s="60" t="e">
        <f t="shared" si="50"/>
        <v>#DIV/0!</v>
      </c>
      <c r="Y15" s="60" t="e">
        <f t="shared" si="50"/>
        <v>#DIV/0!</v>
      </c>
      <c r="Z15" s="60" t="e">
        <f t="shared" si="49"/>
        <v>#DIV/0!</v>
      </c>
      <c r="AA15" s="60" t="e">
        <f t="shared" si="11"/>
        <v>#DIV/0!</v>
      </c>
      <c r="AB15" s="60" t="e">
        <f t="shared" si="49"/>
        <v>#DIV/0!</v>
      </c>
      <c r="AC15" s="60" t="e">
        <f t="shared" si="12"/>
        <v>#DIV/0!</v>
      </c>
      <c r="AD15" s="60" t="e">
        <f t="shared" si="49"/>
        <v>#DIV/0!</v>
      </c>
      <c r="AE15" s="60" t="e">
        <f t="shared" si="13"/>
        <v>#DIV/0!</v>
      </c>
      <c r="AF15" s="60" t="e">
        <f t="shared" si="49"/>
        <v>#DIV/0!</v>
      </c>
      <c r="AH15" s="60">
        <v>65</v>
      </c>
      <c r="AI15" s="60" t="e">
        <f>(AI14+AI16)/2</f>
        <v>#DIV/0!</v>
      </c>
      <c r="AJ15" s="60" t="e">
        <f t="shared" si="14"/>
        <v>#DIV/0!</v>
      </c>
      <c r="AK15" s="60" t="e">
        <f t="shared" si="15"/>
        <v>#DIV/0!</v>
      </c>
      <c r="AL15" s="60" t="e">
        <f t="shared" si="14"/>
        <v>#DIV/0!</v>
      </c>
      <c r="AM15" s="60" t="e">
        <f>(AM14+AM16)/2</f>
        <v>#DIV/0!</v>
      </c>
      <c r="AN15" s="60" t="e">
        <f t="shared" si="16"/>
        <v>#DIV/0!</v>
      </c>
      <c r="AO15" s="60" t="e">
        <f t="shared" si="17"/>
        <v>#DIV/0!</v>
      </c>
      <c r="AP15" s="60" t="e">
        <f t="shared" si="18"/>
        <v>#DIV/0!</v>
      </c>
      <c r="AQ15" s="60" t="e">
        <f>(AQ14+AQ16)/2</f>
        <v>#DIV/0!</v>
      </c>
      <c r="AR15" s="60" t="e">
        <f t="shared" si="19"/>
        <v>#DIV/0!</v>
      </c>
      <c r="AS15" s="60" t="e">
        <f t="shared" si="20"/>
        <v>#DIV/0!</v>
      </c>
      <c r="AT15" s="60" t="e">
        <f t="shared" si="21"/>
        <v>#DIV/0!</v>
      </c>
      <c r="AU15" s="60" t="e">
        <f>(AU14+AU16)/2</f>
        <v>#DIV/0!</v>
      </c>
      <c r="AV15" s="60" t="e">
        <f t="shared" si="22"/>
        <v>#DIV/0!</v>
      </c>
      <c r="AW15" s="60" t="e">
        <f>(AW14+AW16)/2</f>
        <v>#DIV/0!</v>
      </c>
    </row>
    <row r="16" spans="1:49" x14ac:dyDescent="0.2">
      <c r="B16" s="60">
        <v>40</v>
      </c>
      <c r="C16" s="60" t="e">
        <f>IF($A$1=1,C123,IF($A$1=2,C173,IF($A$1=3,C223,IF($A$1=4,C273,IF($A$1=5,C323)))))</f>
        <v>#DIV/0!</v>
      </c>
      <c r="D16" s="60" t="e">
        <f t="shared" ref="D16:F16" si="51">E16*0.99</f>
        <v>#DIV/0!</v>
      </c>
      <c r="E16" s="60" t="e">
        <f t="shared" si="51"/>
        <v>#DIV/0!</v>
      </c>
      <c r="F16" s="60" t="e">
        <f t="shared" si="51"/>
        <v>#DIV/0!</v>
      </c>
      <c r="G16" s="60" t="e">
        <f>IF($A$1=1,D123,IF($A$1=2,D173,IF($A$1=3,D223,IF($A$1=4,D273,IF($A$1=5,D323)))))</f>
        <v>#DIV/0!</v>
      </c>
      <c r="H16" s="60" t="e">
        <f t="shared" si="2"/>
        <v>#DIV/0!</v>
      </c>
      <c r="I16" s="60" t="e">
        <f t="shared" si="3"/>
        <v>#DIV/0!</v>
      </c>
      <c r="J16" s="60" t="e">
        <f t="shared" si="4"/>
        <v>#DIV/0!</v>
      </c>
      <c r="K16" s="60" t="e">
        <f>IF($A$1=1,E123,IF($A$1=2,E173,IF($A$1=3,E223,IF($A$1=4,E273,IF($A$1=5,E323)))))</f>
        <v>#DIV/0!</v>
      </c>
      <c r="L16" s="60" t="e">
        <f t="shared" si="5"/>
        <v>#DIV/0!</v>
      </c>
      <c r="M16" s="60" t="e">
        <f t="shared" si="6"/>
        <v>#DIV/0!</v>
      </c>
      <c r="N16" s="60" t="e">
        <f t="shared" si="7"/>
        <v>#DIV/0!</v>
      </c>
      <c r="O16" s="60" t="e">
        <f>IF($A$1=1,F123,IF($A$1=2,F173,IF($A$1=3,F223,IF($A$1=4,F273,IF($A$1=5,F323)))))</f>
        <v>#DIV/0!</v>
      </c>
      <c r="P16" s="60" t="e">
        <f t="shared" si="8"/>
        <v>#DIV/0!</v>
      </c>
      <c r="Q16" s="60" t="e">
        <f t="shared" si="9"/>
        <v>#DIV/0!</v>
      </c>
      <c r="R16" s="60" t="e">
        <f t="shared" si="10"/>
        <v>#DIV/0!</v>
      </c>
      <c r="S16" s="60" t="e">
        <f>IF($A$1=1,G123,IF($A$1=2,G173,IF($A$1=3,G223,IF($A$1=4,G273,IF($A$1=5,G323)))))</f>
        <v>#DIV/0!</v>
      </c>
      <c r="U16" s="60">
        <v>120</v>
      </c>
      <c r="V16" s="60" t="e">
        <f>IF($A$1=1,J123,IF($A$1=2,J173,IF($A$1=3,J223,IF($A$1=4,J273,IF($A$1=5,J323)))))</f>
        <v>#DIV/0!</v>
      </c>
      <c r="W16" s="60" t="e">
        <f t="shared" ref="W16:Y16" si="52">X16*0.97</f>
        <v>#DIV/0!</v>
      </c>
      <c r="X16" s="60" t="e">
        <f t="shared" si="52"/>
        <v>#DIV/0!</v>
      </c>
      <c r="Y16" s="60" t="e">
        <f t="shared" si="52"/>
        <v>#DIV/0!</v>
      </c>
      <c r="Z16" s="60" t="e">
        <f>IF($A$1=1,K123,IF($A$1=2,K173,IF($A$1=3,K223,IF($A$1=4,K273,IF($A$1=5,K323)))))</f>
        <v>#DIV/0!</v>
      </c>
      <c r="AA16" s="60" t="e">
        <f t="shared" si="11"/>
        <v>#DIV/0!</v>
      </c>
      <c r="AB16" s="60" t="e">
        <f>IF($A$1=1,L123,IF($A$1=2,L173,IF($A$1=3,L223,IF($A$1=4,L273,IF($A$1=5,L323)))))</f>
        <v>#DIV/0!</v>
      </c>
      <c r="AC16" s="60" t="e">
        <f t="shared" si="12"/>
        <v>#DIV/0!</v>
      </c>
      <c r="AD16" s="60" t="e">
        <f>IF($A$1=1,M123,IF($A$1=2,M173,IF($A$1=3,M223,IF($A$1=4,M273,IF($A$1=5,M323)))))</f>
        <v>#DIV/0!</v>
      </c>
      <c r="AE16" s="60" t="e">
        <f t="shared" si="13"/>
        <v>#DIV/0!</v>
      </c>
      <c r="AF16" s="60" t="e">
        <f>IF($A$1=1,N123,IF($A$1=2,N173,IF($A$1=3,N223,IF($A$1=4,N273,IF($A$1=5,N323)))))</f>
        <v>#DIV/0!</v>
      </c>
      <c r="AH16" s="60">
        <v>70</v>
      </c>
      <c r="AI16" s="60" t="e">
        <f>IF($A$1=1,Q123,IF($A$1=2,Q173,IF($A$1=3,Q223,IF($A$1=4,Q273,IF($A$1=5,Q323)))))</f>
        <v>#DIV/0!</v>
      </c>
      <c r="AJ16" s="60" t="e">
        <f t="shared" si="14"/>
        <v>#DIV/0!</v>
      </c>
      <c r="AK16" s="60" t="e">
        <f t="shared" si="15"/>
        <v>#DIV/0!</v>
      </c>
      <c r="AL16" s="60" t="e">
        <f t="shared" si="14"/>
        <v>#DIV/0!</v>
      </c>
      <c r="AM16" s="60" t="e">
        <f>IF($A$1=1,R123,IF($A$1=2,R173,IF($A$1=3,R223,IF($A$1=4,R273,IF($A$1=5,R323)))))</f>
        <v>#DIV/0!</v>
      </c>
      <c r="AN16" s="60" t="e">
        <f t="shared" si="16"/>
        <v>#DIV/0!</v>
      </c>
      <c r="AO16" s="60" t="e">
        <f t="shared" si="17"/>
        <v>#DIV/0!</v>
      </c>
      <c r="AP16" s="60" t="e">
        <f t="shared" si="18"/>
        <v>#DIV/0!</v>
      </c>
      <c r="AQ16" s="60" t="e">
        <f>IF($A$1=1,S123,IF($A$1=2,S173,IF($A$1=3,S223,IF($A$1=4,S273,IF($A$1=5,S323)))))</f>
        <v>#DIV/0!</v>
      </c>
      <c r="AR16" s="60" t="e">
        <f t="shared" si="19"/>
        <v>#DIV/0!</v>
      </c>
      <c r="AS16" s="60" t="e">
        <f t="shared" si="20"/>
        <v>#DIV/0!</v>
      </c>
      <c r="AT16" s="60" t="e">
        <f t="shared" si="21"/>
        <v>#DIV/0!</v>
      </c>
      <c r="AU16" s="60" t="e">
        <f>IF($A$1=1,T123,IF($A$1=2,T173,IF($A$1=3,T223,IF($A$1=4,T273,IF($A$1=5,T323)))))</f>
        <v>#DIV/0!</v>
      </c>
      <c r="AV16" s="60" t="e">
        <f t="shared" si="22"/>
        <v>#DIV/0!</v>
      </c>
      <c r="AW16" s="60" t="e">
        <f>IF($A$1=1,U123,IF($A$1=2,U173,IF($A$1=3,U223,IF($A$1=4,U273,IF($A$1=5,U323)))))</f>
        <v>#DIV/0!</v>
      </c>
    </row>
    <row r="17" spans="2:36" x14ac:dyDescent="0.2">
      <c r="B17" s="60">
        <v>45</v>
      </c>
      <c r="C17" s="60" t="e">
        <f>(C16+C18)/2</f>
        <v>#DIV/0!</v>
      </c>
      <c r="D17" s="60" t="e">
        <f t="shared" ref="D17:F17" si="53">E17*0.99</f>
        <v>#DIV/0!</v>
      </c>
      <c r="E17" s="60" t="e">
        <f t="shared" si="53"/>
        <v>#DIV/0!</v>
      </c>
      <c r="F17" s="60" t="e">
        <f t="shared" si="53"/>
        <v>#DIV/0!</v>
      </c>
      <c r="G17" s="60" t="e">
        <f>(G16+G18)/2</f>
        <v>#DIV/0!</v>
      </c>
      <c r="H17" s="60" t="e">
        <f t="shared" si="2"/>
        <v>#DIV/0!</v>
      </c>
      <c r="I17" s="60" t="e">
        <f t="shared" si="3"/>
        <v>#DIV/0!</v>
      </c>
      <c r="J17" s="60" t="e">
        <f t="shared" si="4"/>
        <v>#DIV/0!</v>
      </c>
      <c r="K17" s="60" t="e">
        <f>(K16+K18)/2</f>
        <v>#DIV/0!</v>
      </c>
      <c r="L17" s="60" t="e">
        <f t="shared" si="5"/>
        <v>#DIV/0!</v>
      </c>
      <c r="M17" s="60" t="e">
        <f t="shared" si="6"/>
        <v>#DIV/0!</v>
      </c>
      <c r="N17" s="60" t="e">
        <f t="shared" si="7"/>
        <v>#DIV/0!</v>
      </c>
      <c r="O17" s="60" t="e">
        <f>(O16+O18)/2</f>
        <v>#DIV/0!</v>
      </c>
      <c r="P17" s="60" t="e">
        <f t="shared" si="8"/>
        <v>#DIV/0!</v>
      </c>
      <c r="Q17" s="60" t="e">
        <f t="shared" si="9"/>
        <v>#DIV/0!</v>
      </c>
      <c r="R17" s="60" t="e">
        <f t="shared" si="10"/>
        <v>#DIV/0!</v>
      </c>
      <c r="S17" s="60" t="e">
        <f>(S16+S18)/2</f>
        <v>#DIV/0!</v>
      </c>
      <c r="U17" s="60">
        <v>125</v>
      </c>
      <c r="V17" s="60" t="e">
        <f t="shared" ref="V17:AF17" si="54">(V16+V18)/2</f>
        <v>#DIV/0!</v>
      </c>
      <c r="W17" s="60" t="e">
        <f t="shared" ref="W17:Y17" si="55">X17*0.97</f>
        <v>#DIV/0!</v>
      </c>
      <c r="X17" s="60" t="e">
        <f t="shared" si="55"/>
        <v>#DIV/0!</v>
      </c>
      <c r="Y17" s="60" t="e">
        <f t="shared" si="55"/>
        <v>#DIV/0!</v>
      </c>
      <c r="Z17" s="60" t="e">
        <f t="shared" si="54"/>
        <v>#DIV/0!</v>
      </c>
      <c r="AA17" s="60" t="e">
        <f t="shared" si="11"/>
        <v>#DIV/0!</v>
      </c>
      <c r="AB17" s="60" t="e">
        <f t="shared" si="54"/>
        <v>#DIV/0!</v>
      </c>
      <c r="AC17" s="60" t="e">
        <f t="shared" si="12"/>
        <v>#DIV/0!</v>
      </c>
      <c r="AD17" s="60" t="e">
        <f t="shared" si="54"/>
        <v>#DIV/0!</v>
      </c>
      <c r="AE17" s="60" t="e">
        <f t="shared" si="13"/>
        <v>#DIV/0!</v>
      </c>
      <c r="AF17" s="60" t="e">
        <f t="shared" si="54"/>
        <v>#DIV/0!</v>
      </c>
      <c r="AH17" s="1019">
        <f>'Wrk G'!L11</f>
        <v>-32</v>
      </c>
      <c r="AI17" s="1169">
        <f>'Wrk G'!$L$6</f>
        <v>0</v>
      </c>
      <c r="AJ17" s="1169" t="e">
        <f>INDEX(AH3:AW16,MATCH(AH17,AH3:AH16),MATCH(AI17,AH3:AW3))</f>
        <v>#N/A</v>
      </c>
    </row>
    <row r="18" spans="2:36" x14ac:dyDescent="0.2">
      <c r="B18" s="60">
        <v>50</v>
      </c>
      <c r="C18" s="60" t="e">
        <f>IF($A$1=1,C124,IF($A$1=2,C174,IF($A$1=3,C224,IF($A$1=4,C274,IF($A$1=5,C324)))))</f>
        <v>#DIV/0!</v>
      </c>
      <c r="D18" s="60" t="e">
        <f t="shared" ref="D18:F18" si="56">E18*0.99</f>
        <v>#DIV/0!</v>
      </c>
      <c r="E18" s="60" t="e">
        <f t="shared" si="56"/>
        <v>#DIV/0!</v>
      </c>
      <c r="F18" s="60" t="e">
        <f t="shared" si="56"/>
        <v>#DIV/0!</v>
      </c>
      <c r="G18" s="60" t="e">
        <f>IF($A$1=1,D124,IF($A$1=2,D174,IF($A$1=3,D224,IF($A$1=4,D274,IF($A$1=5,D324)))))</f>
        <v>#DIV/0!</v>
      </c>
      <c r="H18" s="60" t="e">
        <f t="shared" si="2"/>
        <v>#DIV/0!</v>
      </c>
      <c r="I18" s="60" t="e">
        <f t="shared" si="3"/>
        <v>#DIV/0!</v>
      </c>
      <c r="J18" s="60" t="e">
        <f t="shared" si="4"/>
        <v>#DIV/0!</v>
      </c>
      <c r="K18" s="60" t="e">
        <f>IF($A$1=1,E124,IF($A$1=2,E174,IF($A$1=3,E224,IF($A$1=4,E274,IF($A$1=5,E324)))))</f>
        <v>#DIV/0!</v>
      </c>
      <c r="L18" s="60" t="e">
        <f t="shared" si="5"/>
        <v>#DIV/0!</v>
      </c>
      <c r="M18" s="60" t="e">
        <f t="shared" si="6"/>
        <v>#DIV/0!</v>
      </c>
      <c r="N18" s="60" t="e">
        <f t="shared" si="7"/>
        <v>#DIV/0!</v>
      </c>
      <c r="O18" s="60" t="e">
        <f>IF($A$1=1,F124,IF($A$1=2,F174,IF($A$1=3,F224,IF($A$1=4,F274,IF($A$1=5,F324)))))</f>
        <v>#DIV/0!</v>
      </c>
      <c r="P18" s="60" t="e">
        <f t="shared" si="8"/>
        <v>#DIV/0!</v>
      </c>
      <c r="Q18" s="60" t="e">
        <f t="shared" si="9"/>
        <v>#DIV/0!</v>
      </c>
      <c r="R18" s="60" t="e">
        <f t="shared" si="10"/>
        <v>#DIV/0!</v>
      </c>
      <c r="S18" s="60" t="e">
        <f>IF($A$1=1,G124,IF($A$1=2,G174,IF($A$1=3,G224,IF($A$1=4,G274,IF($A$1=5,G324)))))</f>
        <v>#DIV/0!</v>
      </c>
      <c r="U18" s="60">
        <v>130</v>
      </c>
      <c r="V18" s="60" t="e">
        <f>IF($A$1=1,J124,IF($A$1=2,J174,IF($A$1=3,J224,IF($A$1=4,J274,IF($A$1=5,J324)))))</f>
        <v>#DIV/0!</v>
      </c>
      <c r="W18" s="60" t="e">
        <f t="shared" ref="W18:Y18" si="57">X18*0.97</f>
        <v>#DIV/0!</v>
      </c>
      <c r="X18" s="60" t="e">
        <f t="shared" si="57"/>
        <v>#DIV/0!</v>
      </c>
      <c r="Y18" s="60" t="e">
        <f t="shared" si="57"/>
        <v>#DIV/0!</v>
      </c>
      <c r="Z18" s="60" t="e">
        <f>IF($A$1=1,K124,IF($A$1=2,K174,IF($A$1=3,K224,IF($A$1=4,K274,IF($A$1=5,K324)))))</f>
        <v>#DIV/0!</v>
      </c>
      <c r="AA18" s="60" t="e">
        <f t="shared" si="11"/>
        <v>#DIV/0!</v>
      </c>
      <c r="AB18" s="60" t="e">
        <f>IF($A$1=1,L124,IF($A$1=2,L174,IF($A$1=3,L224,IF($A$1=4,L274,IF($A$1=5,L324)))))</f>
        <v>#DIV/0!</v>
      </c>
      <c r="AC18" s="60" t="e">
        <f t="shared" si="12"/>
        <v>#DIV/0!</v>
      </c>
      <c r="AD18" s="60" t="e">
        <f>IF($A$1=1,M124,IF($A$1=2,M174,IF($A$1=3,M224,IF($A$1=4,M274,IF($A$1=5,M324)))))</f>
        <v>#DIV/0!</v>
      </c>
      <c r="AE18" s="60" t="e">
        <f t="shared" si="13"/>
        <v>#DIV/0!</v>
      </c>
      <c r="AF18" s="60" t="e">
        <f>IF($A$1=1,N124,IF($A$1=2,N174,IF($A$1=3,N224,IF($A$1=4,N274,IF($A$1=5,N324)))))</f>
        <v>#DIV/0!</v>
      </c>
    </row>
    <row r="19" spans="2:36" x14ac:dyDescent="0.2">
      <c r="B19" s="60">
        <v>55</v>
      </c>
      <c r="C19" s="60" t="e">
        <f>(C18+C20)/2</f>
        <v>#DIV/0!</v>
      </c>
      <c r="D19" s="60" t="e">
        <f t="shared" ref="D19:F19" si="58">E19*0.99</f>
        <v>#DIV/0!</v>
      </c>
      <c r="E19" s="60" t="e">
        <f t="shared" si="58"/>
        <v>#DIV/0!</v>
      </c>
      <c r="F19" s="60" t="e">
        <f t="shared" si="58"/>
        <v>#DIV/0!</v>
      </c>
      <c r="G19" s="60" t="e">
        <f>(G18+G20)/2</f>
        <v>#DIV/0!</v>
      </c>
      <c r="H19" s="60" t="e">
        <f t="shared" si="2"/>
        <v>#DIV/0!</v>
      </c>
      <c r="I19" s="60" t="e">
        <f t="shared" si="3"/>
        <v>#DIV/0!</v>
      </c>
      <c r="J19" s="60" t="e">
        <f t="shared" si="4"/>
        <v>#DIV/0!</v>
      </c>
      <c r="K19" s="60" t="e">
        <f>(K18+K20)/2</f>
        <v>#DIV/0!</v>
      </c>
      <c r="L19" s="60" t="e">
        <f t="shared" si="5"/>
        <v>#DIV/0!</v>
      </c>
      <c r="M19" s="60" t="e">
        <f t="shared" si="6"/>
        <v>#DIV/0!</v>
      </c>
      <c r="N19" s="60" t="e">
        <f t="shared" si="7"/>
        <v>#DIV/0!</v>
      </c>
      <c r="O19" s="60" t="e">
        <f>(O18+O20)/2</f>
        <v>#DIV/0!</v>
      </c>
      <c r="P19" s="60" t="e">
        <f t="shared" si="8"/>
        <v>#DIV/0!</v>
      </c>
      <c r="Q19" s="60" t="e">
        <f t="shared" si="9"/>
        <v>#DIV/0!</v>
      </c>
      <c r="R19" s="60" t="e">
        <f t="shared" si="10"/>
        <v>#DIV/0!</v>
      </c>
      <c r="S19" s="60" t="e">
        <f>(S18+S20)/2</f>
        <v>#DIV/0!</v>
      </c>
      <c r="U19" s="60">
        <v>135</v>
      </c>
      <c r="V19" s="60" t="e">
        <f t="shared" ref="V19:AF19" si="59">(V18+V20)/2</f>
        <v>#DIV/0!</v>
      </c>
      <c r="W19" s="60" t="e">
        <f t="shared" ref="W19:Y19" si="60">X19*0.97</f>
        <v>#DIV/0!</v>
      </c>
      <c r="X19" s="60" t="e">
        <f t="shared" si="60"/>
        <v>#DIV/0!</v>
      </c>
      <c r="Y19" s="60" t="e">
        <f t="shared" si="60"/>
        <v>#DIV/0!</v>
      </c>
      <c r="Z19" s="60" t="e">
        <f t="shared" si="59"/>
        <v>#DIV/0!</v>
      </c>
      <c r="AA19" s="60" t="e">
        <f t="shared" si="11"/>
        <v>#DIV/0!</v>
      </c>
      <c r="AB19" s="60" t="e">
        <f t="shared" si="59"/>
        <v>#DIV/0!</v>
      </c>
      <c r="AC19" s="60" t="e">
        <f t="shared" si="12"/>
        <v>#DIV/0!</v>
      </c>
      <c r="AD19" s="60" t="e">
        <f t="shared" si="59"/>
        <v>#DIV/0!</v>
      </c>
      <c r="AE19" s="60" t="e">
        <f t="shared" si="13"/>
        <v>#DIV/0!</v>
      </c>
      <c r="AF19" s="60" t="e">
        <f t="shared" si="59"/>
        <v>#DIV/0!</v>
      </c>
    </row>
    <row r="20" spans="2:36" x14ac:dyDescent="0.2">
      <c r="B20" s="60">
        <v>60</v>
      </c>
      <c r="C20" s="60" t="e">
        <f>IF($A$1=1,C125,IF($A$1=2,C175,IF($A$1=3,C225,IF($A$1=4,C275,IF($A$1=5,C325)))))</f>
        <v>#DIV/0!</v>
      </c>
      <c r="D20" s="60" t="e">
        <f t="shared" ref="D20:F20" si="61">E20*0.99</f>
        <v>#DIV/0!</v>
      </c>
      <c r="E20" s="60" t="e">
        <f t="shared" si="61"/>
        <v>#DIV/0!</v>
      </c>
      <c r="F20" s="60" t="e">
        <f t="shared" si="61"/>
        <v>#DIV/0!</v>
      </c>
      <c r="G20" s="60" t="e">
        <f>IF($A$1=1,D125,IF($A$1=2,D175,IF($A$1=3,D225,IF($A$1=4,D275,IF($A$1=5,D325)))))</f>
        <v>#DIV/0!</v>
      </c>
      <c r="H20" s="60" t="e">
        <f t="shared" si="2"/>
        <v>#DIV/0!</v>
      </c>
      <c r="I20" s="60" t="e">
        <f t="shared" si="3"/>
        <v>#DIV/0!</v>
      </c>
      <c r="J20" s="60" t="e">
        <f t="shared" si="4"/>
        <v>#DIV/0!</v>
      </c>
      <c r="K20" s="60" t="e">
        <f>IF($A$1=1,E125,IF($A$1=2,E175,IF($A$1=3,E225,IF($A$1=4,E275,IF($A$1=5,E325)))))</f>
        <v>#DIV/0!</v>
      </c>
      <c r="L20" s="60" t="e">
        <f t="shared" si="5"/>
        <v>#DIV/0!</v>
      </c>
      <c r="M20" s="60" t="e">
        <f t="shared" si="6"/>
        <v>#DIV/0!</v>
      </c>
      <c r="N20" s="60" t="e">
        <f t="shared" si="7"/>
        <v>#DIV/0!</v>
      </c>
      <c r="O20" s="60" t="e">
        <f>IF($A$1=1,F125,IF($A$1=2,F175,IF($A$1=3,F225,IF($A$1=4,F275,IF($A$1=5,F325)))))</f>
        <v>#DIV/0!</v>
      </c>
      <c r="P20" s="60" t="e">
        <f t="shared" si="8"/>
        <v>#DIV/0!</v>
      </c>
      <c r="Q20" s="60" t="e">
        <f t="shared" si="9"/>
        <v>#DIV/0!</v>
      </c>
      <c r="R20" s="60" t="e">
        <f t="shared" si="10"/>
        <v>#DIV/0!</v>
      </c>
      <c r="S20" s="60" t="e">
        <f>IF($A$1=1,G125,IF($A$1=2,G175,IF($A$1=3,G225,IF($A$1=4,G275,IF($A$1=5,G325)))))</f>
        <v>#DIV/0!</v>
      </c>
      <c r="U20" s="60">
        <v>140</v>
      </c>
      <c r="V20" s="60" t="e">
        <f>IF($A$1=1,J125,IF($A$1=2,J175,IF($A$1=3,J225,IF($A$1=4,J275,IF($A$1=5,J325)))))</f>
        <v>#DIV/0!</v>
      </c>
      <c r="W20" s="60" t="e">
        <f t="shared" ref="W20:Y20" si="62">X20*0.97</f>
        <v>#DIV/0!</v>
      </c>
      <c r="X20" s="60" t="e">
        <f t="shared" si="62"/>
        <v>#DIV/0!</v>
      </c>
      <c r="Y20" s="60" t="e">
        <f t="shared" si="62"/>
        <v>#DIV/0!</v>
      </c>
      <c r="Z20" s="60" t="e">
        <f>IF($A$1=1,K125,IF($A$1=2,K175,IF($A$1=3,K225,IF($A$1=4,K275,IF($A$1=5,K325)))))</f>
        <v>#DIV/0!</v>
      </c>
      <c r="AA20" s="60" t="e">
        <f t="shared" si="11"/>
        <v>#DIV/0!</v>
      </c>
      <c r="AB20" s="60" t="e">
        <f>IF($A$1=1,L125,IF($A$1=2,L175,IF($A$1=3,L225,IF($A$1=4,L275,IF($A$1=5,L325)))))</f>
        <v>#DIV/0!</v>
      </c>
      <c r="AC20" s="60" t="e">
        <f t="shared" si="12"/>
        <v>#DIV/0!</v>
      </c>
      <c r="AD20" s="60" t="e">
        <f>IF($A$1=1,M125,IF($A$1=2,M175,IF($A$1=3,M225,IF($A$1=4,M275,IF($A$1=5,M325)))))</f>
        <v>#DIV/0!</v>
      </c>
      <c r="AE20" s="60" t="e">
        <f t="shared" si="13"/>
        <v>#DIV/0!</v>
      </c>
      <c r="AF20" s="60" t="e">
        <f>IF($A$1=1,N125,IF($A$1=2,N175,IF($A$1=3,N225,IF($A$1=4,N275,IF($A$1=5,N325)))))</f>
        <v>#DIV/0!</v>
      </c>
    </row>
    <row r="21" spans="2:36" x14ac:dyDescent="0.2">
      <c r="B21" s="60">
        <v>65</v>
      </c>
      <c r="C21" s="60" t="e">
        <f>(C20+C22)/2</f>
        <v>#DIV/0!</v>
      </c>
      <c r="D21" s="60" t="e">
        <f t="shared" ref="D21:F21" si="63">E21*0.99</f>
        <v>#DIV/0!</v>
      </c>
      <c r="E21" s="60" t="e">
        <f t="shared" si="63"/>
        <v>#DIV/0!</v>
      </c>
      <c r="F21" s="60" t="e">
        <f t="shared" si="63"/>
        <v>#DIV/0!</v>
      </c>
      <c r="G21" s="60" t="e">
        <f>(G20+G22)/2</f>
        <v>#DIV/0!</v>
      </c>
      <c r="H21" s="60" t="e">
        <f t="shared" si="2"/>
        <v>#DIV/0!</v>
      </c>
      <c r="I21" s="60" t="e">
        <f t="shared" si="3"/>
        <v>#DIV/0!</v>
      </c>
      <c r="J21" s="60" t="e">
        <f t="shared" si="4"/>
        <v>#DIV/0!</v>
      </c>
      <c r="K21" s="60" t="e">
        <f>(K20+K22)/2</f>
        <v>#DIV/0!</v>
      </c>
      <c r="L21" s="60" t="e">
        <f t="shared" si="5"/>
        <v>#DIV/0!</v>
      </c>
      <c r="M21" s="60" t="e">
        <f t="shared" si="6"/>
        <v>#DIV/0!</v>
      </c>
      <c r="N21" s="60" t="e">
        <f t="shared" si="7"/>
        <v>#DIV/0!</v>
      </c>
      <c r="O21" s="60" t="e">
        <f>(O20+O22)/2</f>
        <v>#DIV/0!</v>
      </c>
      <c r="P21" s="60" t="e">
        <f t="shared" si="8"/>
        <v>#DIV/0!</v>
      </c>
      <c r="Q21" s="60" t="e">
        <f t="shared" si="9"/>
        <v>#DIV/0!</v>
      </c>
      <c r="R21" s="60" t="e">
        <f t="shared" si="10"/>
        <v>#DIV/0!</v>
      </c>
      <c r="S21" s="60" t="e">
        <f>(S20+S22)/2</f>
        <v>#DIV/0!</v>
      </c>
      <c r="U21" s="60">
        <v>145</v>
      </c>
      <c r="V21" s="60" t="e">
        <f t="shared" ref="V21:AF21" si="64">(V20+V22)/2</f>
        <v>#DIV/0!</v>
      </c>
      <c r="W21" s="60" t="e">
        <f t="shared" ref="W21:Y21" si="65">X21*0.97</f>
        <v>#DIV/0!</v>
      </c>
      <c r="X21" s="60" t="e">
        <f t="shared" si="65"/>
        <v>#DIV/0!</v>
      </c>
      <c r="Y21" s="60" t="e">
        <f t="shared" si="65"/>
        <v>#DIV/0!</v>
      </c>
      <c r="Z21" s="60" t="e">
        <f t="shared" si="64"/>
        <v>#DIV/0!</v>
      </c>
      <c r="AA21" s="60" t="e">
        <f t="shared" si="11"/>
        <v>#DIV/0!</v>
      </c>
      <c r="AB21" s="60" t="e">
        <f t="shared" si="64"/>
        <v>#DIV/0!</v>
      </c>
      <c r="AC21" s="60" t="e">
        <f t="shared" si="12"/>
        <v>#DIV/0!</v>
      </c>
      <c r="AD21" s="60" t="e">
        <f t="shared" si="64"/>
        <v>#DIV/0!</v>
      </c>
      <c r="AE21" s="60" t="e">
        <f t="shared" si="13"/>
        <v>#DIV/0!</v>
      </c>
      <c r="AF21" s="60" t="e">
        <f t="shared" si="64"/>
        <v>#DIV/0!</v>
      </c>
    </row>
    <row r="22" spans="2:36" x14ac:dyDescent="0.2">
      <c r="B22" s="60">
        <v>70</v>
      </c>
      <c r="C22" s="60" t="e">
        <f>IF($A$1=1,C126,IF($A$1=2,C176,IF($A$1=3,C226,IF($A$1=4,C276,IF($A$1=5,C326)))))</f>
        <v>#DIV/0!</v>
      </c>
      <c r="D22" s="60" t="e">
        <f t="shared" ref="D22:F22" si="66">E22*0.99</f>
        <v>#DIV/0!</v>
      </c>
      <c r="E22" s="60" t="e">
        <f t="shared" si="66"/>
        <v>#DIV/0!</v>
      </c>
      <c r="F22" s="60" t="e">
        <f t="shared" si="66"/>
        <v>#DIV/0!</v>
      </c>
      <c r="G22" s="60" t="e">
        <f>IF($A$1=1,D126,IF($A$1=2,D176,IF($A$1=3,D226,IF($A$1=4,D276,IF($A$1=5,D326)))))</f>
        <v>#DIV/0!</v>
      </c>
      <c r="H22" s="60" t="e">
        <f t="shared" si="2"/>
        <v>#DIV/0!</v>
      </c>
      <c r="I22" s="60" t="e">
        <f t="shared" si="3"/>
        <v>#DIV/0!</v>
      </c>
      <c r="J22" s="60" t="e">
        <f t="shared" si="4"/>
        <v>#DIV/0!</v>
      </c>
      <c r="K22" s="60" t="e">
        <f>IF($A$1=1,E126,IF($A$1=2,E176,IF($A$1=3,E226,IF($A$1=4,E276,IF($A$1=5,E326)))))</f>
        <v>#DIV/0!</v>
      </c>
      <c r="L22" s="60" t="e">
        <f t="shared" si="5"/>
        <v>#DIV/0!</v>
      </c>
      <c r="M22" s="60" t="e">
        <f t="shared" si="6"/>
        <v>#DIV/0!</v>
      </c>
      <c r="N22" s="60" t="e">
        <f t="shared" si="7"/>
        <v>#DIV/0!</v>
      </c>
      <c r="O22" s="60" t="e">
        <f>IF($A$1=1,F126,IF($A$1=2,F176,IF($A$1=3,F226,IF($A$1=4,F276,IF($A$1=5,F326)))))</f>
        <v>#DIV/0!</v>
      </c>
      <c r="P22" s="60" t="e">
        <f t="shared" si="8"/>
        <v>#DIV/0!</v>
      </c>
      <c r="Q22" s="60" t="e">
        <f t="shared" si="9"/>
        <v>#DIV/0!</v>
      </c>
      <c r="R22" s="60" t="e">
        <f t="shared" si="10"/>
        <v>#DIV/0!</v>
      </c>
      <c r="S22" s="60" t="e">
        <f>IF($A$1=1,G126,IF($A$1=2,G176,IF($A$1=3,G226,IF($A$1=4,G276,IF($A$1=5,G326)))))</f>
        <v>#DIV/0!</v>
      </c>
      <c r="U22" s="60">
        <v>150</v>
      </c>
      <c r="V22" s="60" t="e">
        <f>IF($A$1=1,J126,IF($A$1=2,J176,IF($A$1=3,J226,IF($A$1=4,J276,IF($A$1=5,J326)))))</f>
        <v>#DIV/0!</v>
      </c>
      <c r="W22" s="60" t="e">
        <f t="shared" ref="W22:Y22" si="67">X22*0.97</f>
        <v>#DIV/0!</v>
      </c>
      <c r="X22" s="60" t="e">
        <f t="shared" si="67"/>
        <v>#DIV/0!</v>
      </c>
      <c r="Y22" s="60" t="e">
        <f t="shared" si="67"/>
        <v>#DIV/0!</v>
      </c>
      <c r="Z22" s="60" t="e">
        <f>IF($A$1=1,K126,IF($A$1=2,K176,IF($A$1=3,K226,IF($A$1=4,K276,IF($A$1=5,K326)))))</f>
        <v>#DIV/0!</v>
      </c>
      <c r="AA22" s="60" t="e">
        <f t="shared" si="11"/>
        <v>#DIV/0!</v>
      </c>
      <c r="AB22" s="60" t="e">
        <f>IF($A$1=1,L126,IF($A$1=2,L176,IF($A$1=3,L226,IF($A$1=4,L276,IF($A$1=5,L326)))))</f>
        <v>#DIV/0!</v>
      </c>
      <c r="AC22" s="60" t="e">
        <f t="shared" si="12"/>
        <v>#DIV/0!</v>
      </c>
      <c r="AD22" s="60" t="e">
        <f>IF($A$1=1,M126,IF($A$1=2,M176,IF($A$1=3,M226,IF($A$1=4,M276,IF($A$1=5,M326)))))</f>
        <v>#DIV/0!</v>
      </c>
      <c r="AE22" s="60" t="e">
        <f t="shared" si="13"/>
        <v>#DIV/0!</v>
      </c>
      <c r="AF22" s="60" t="e">
        <f>IF($A$1=1,N126,IF($A$1=2,N176,IF($A$1=3,N226,IF($A$1=4,N276,IF($A$1=5,N326)))))</f>
        <v>#DIV/0!</v>
      </c>
    </row>
    <row r="23" spans="2:36" x14ac:dyDescent="0.2">
      <c r="B23" s="1167">
        <f>'Wrk G'!$H$11</f>
        <v>15</v>
      </c>
      <c r="C23" s="1168">
        <f>'Wrk G'!$L$6</f>
        <v>0</v>
      </c>
      <c r="D23" s="1312">
        <f>INDEX($C$3:S22,MATCH(B23,C3:C22),MATCH(C23,C3:S3))</f>
        <v>0</v>
      </c>
      <c r="U23" s="60">
        <v>160</v>
      </c>
      <c r="V23" s="60" t="e">
        <f>IF($A$1=1,J127,IF($A$1=2,J177,IF($A$1=3,J227,IF($A$1=4,J277,IF($A$1=5,J327)))))</f>
        <v>#DIV/0!</v>
      </c>
      <c r="W23" s="60" t="e">
        <f t="shared" ref="W23:Y23" si="68">X23*0.97</f>
        <v>#DIV/0!</v>
      </c>
      <c r="X23" s="60" t="e">
        <f t="shared" si="68"/>
        <v>#DIV/0!</v>
      </c>
      <c r="Y23" s="60" t="e">
        <f t="shared" si="68"/>
        <v>#DIV/0!</v>
      </c>
      <c r="Z23" s="60" t="e">
        <f>IF($A$1=1,K127,IF($A$1=2,K177,IF($A$1=3,K227,IF($A$1=4,K277,IF($A$1=5,K327)))))</f>
        <v>#DIV/0!</v>
      </c>
      <c r="AA23" s="60" t="e">
        <f t="shared" si="11"/>
        <v>#DIV/0!</v>
      </c>
      <c r="AB23" s="60" t="e">
        <f>IF($A$1=1,L127,IF($A$1=2,L177,IF($A$1=3,L227,IF($A$1=4,L277,IF($A$1=5,L327)))))</f>
        <v>#DIV/0!</v>
      </c>
      <c r="AC23" s="60" t="e">
        <f t="shared" si="12"/>
        <v>#DIV/0!</v>
      </c>
      <c r="AD23" s="60" t="e">
        <f>IF($A$1=1,M127,IF($A$1=2,M177,IF($A$1=3,M227,IF($A$1=4,M277,IF($A$1=5,M327)))))</f>
        <v>#DIV/0!</v>
      </c>
      <c r="AE23" s="60" t="e">
        <f t="shared" si="13"/>
        <v>#DIV/0!</v>
      </c>
      <c r="AF23" s="60" t="e">
        <f>IF($A$1=1,N127,IF($A$1=2,N177,IF($A$1=3,N227,IF($A$1=4,N277,IF($A$1=5,N327)))))</f>
        <v>#DIV/0!</v>
      </c>
    </row>
    <row r="24" spans="2:36" x14ac:dyDescent="0.2">
      <c r="U24" s="1167">
        <f>'Wrk G'!K11</f>
        <v>90</v>
      </c>
      <c r="V24" s="1168">
        <f>'Wrk G'!$L$6</f>
        <v>0</v>
      </c>
      <c r="W24" s="1019" t="e">
        <f>INDEX(U3:AF23,MATCH(U24,U3:U23),MATCH(V24,U3:AF3))</f>
        <v>#DIV/0!</v>
      </c>
    </row>
    <row r="25" spans="2:36" x14ac:dyDescent="0.2">
      <c r="B25" s="60" t="e">
        <f>IF($A$1=1,B129,IF($A$1=2,B179,IF($A$1=3,B229,IF($A$1=4,B279,IF($A$1=5,B329)))))</f>
        <v>#DIV/0!</v>
      </c>
      <c r="I25" s="60" t="e">
        <f>IF($A$1=1,I130,IF($A$1=2,I180,IF($A$1=3,I230,IF($A$1=4,I280,IF($A$1=5,I330)))))</f>
        <v>#DIV/0!</v>
      </c>
      <c r="O25" s="60" t="s">
        <v>3629</v>
      </c>
    </row>
    <row r="26" spans="2:36" x14ac:dyDescent="0.2">
      <c r="C26" s="60" t="e">
        <f>IF($A$1=1,D129,IF($A$1=2,D179,IF($A$1=3,D229,IF($A$1=4,D279,IF($A$1=5,D329)))))</f>
        <v>#DIV/0!</v>
      </c>
      <c r="D26" s="60" t="e">
        <f>IF($A$1=1,D130,IF($A$1=2,D180,IF($A$1=3,D230,IF($A$1=4,D280,IF($A$1=5,D330)))))</f>
        <v>#DIV/0!</v>
      </c>
      <c r="E26" s="1019" t="e">
        <f>VLOOKUP(DuctsI!F4,DuctsT!C26:D29,2)</f>
        <v>#N/A</v>
      </c>
      <c r="J26" s="60" t="e">
        <f>IF($A$1=1,K130,IF($A$1=2,K180,IF($A$1=3,K230,IF($A$1=4,K280,IF($A$1=5,K330)))))</f>
        <v>#DIV/0!</v>
      </c>
      <c r="K26" s="60" t="e">
        <f>IF($A$1=1,K131,IF($A$1=2,K181,IF($A$1=3,K231,IF($A$1=4,K281,IF($A$1=5,K331)))))</f>
        <v>#DIV/0!</v>
      </c>
      <c r="L26" s="1019" t="e">
        <f>VLOOKUP(DuctsI!F4,DuctsT!J26:K29,2)</f>
        <v>#N/A</v>
      </c>
      <c r="O26" s="1170" t="e">
        <f>'Wrk G'!I11</f>
        <v>#DIV/0!</v>
      </c>
      <c r="P26" s="1171">
        <v>0</v>
      </c>
      <c r="Q26" s="60">
        <v>1</v>
      </c>
      <c r="R26" s="60">
        <v>0.5</v>
      </c>
      <c r="S26" s="1166" t="e">
        <f>VLOOKUP(O26,P26:R30,3)</f>
        <v>#DIV/0!</v>
      </c>
    </row>
    <row r="27" spans="2:36" x14ac:dyDescent="0.2">
      <c r="C27" s="60" t="e">
        <f>IF($A$1=1,E129,IF($A$1=2,E179,IF($A$1=3,E229,IF($A$1=4,E279,IF($A$1=5,E329)))))</f>
        <v>#DIV/0!</v>
      </c>
      <c r="D27" s="60" t="e">
        <f>IF($A$1=1,E130,IF($A$1=2,E180,IF($A$1=3,E230,IF($A$1=4,E280,IF($A$1=5,E330)))))</f>
        <v>#DIV/0!</v>
      </c>
      <c r="J27" s="60" t="e">
        <f>IF($A$1=1,L130,IF($A$1=2,L180,IF($A$1=3,L230,IF($A$1=4,L280,IF($A$1=5,L330)))))</f>
        <v>#DIV/0!</v>
      </c>
      <c r="K27" s="60" t="e">
        <f>IF($A$1=1,L131,IF($A$1=2,L181,IF($A$1=3,L231,IF($A$1=4,L281,IF($A$1=5,L331)))))</f>
        <v>#DIV/0!</v>
      </c>
      <c r="P27" s="1171">
        <v>0.75</v>
      </c>
      <c r="Q27" s="60">
        <v>2</v>
      </c>
      <c r="R27" s="60">
        <v>1</v>
      </c>
      <c r="S27" s="1019" t="e">
        <f>VLOOKUP(O26,P26:Q29,2)</f>
        <v>#DIV/0!</v>
      </c>
    </row>
    <row r="28" spans="2:36" x14ac:dyDescent="0.2">
      <c r="C28" s="60" t="e">
        <f>IF($A$1=1,F129,IF($A$1=2,F179,IF($A$1=3,F229,IF($A$1=4,F279,IF($A$1=5,F329)))))</f>
        <v>#DIV/0!</v>
      </c>
      <c r="D28" s="60" t="e">
        <f>IF($A$1=1,F130,IF($A$1=2,F180,IF($A$1=3,F230,IF($A$1=4,F280,IF($A$1=5,F330)))))</f>
        <v>#DIV/0!</v>
      </c>
      <c r="J28" s="60" t="e">
        <f>IF($A$1=1,M130,IF($A$1=2,M180,IF($A$1=3,M230,IF($A$1=4,M280,IF($A$1=5,M330)))))</f>
        <v>#DIV/0!</v>
      </c>
      <c r="K28" s="60" t="e">
        <f>IF($A$1=1,M131,IF($A$1=2,M181,IF($A$1=3,M231,IF($A$1=4,M281,IF($A$1=5,M331)))))</f>
        <v>#DIV/0!</v>
      </c>
      <c r="P28" s="1171">
        <v>1.25</v>
      </c>
      <c r="Q28" s="60">
        <v>3</v>
      </c>
      <c r="R28" s="60">
        <v>1.5</v>
      </c>
    </row>
    <row r="29" spans="2:36" x14ac:dyDescent="0.2">
      <c r="C29" s="60" t="e">
        <f>IF($A$1=1,G129,IF($A$1=2,G179,IF($A$1=3,G229,IF($A$1=4,G279,IF($A$1=5,G329)))))</f>
        <v>#DIV/0!</v>
      </c>
      <c r="D29" s="60" t="e">
        <f>IF($A$1=1,G130,IF($A$1=2,G180,IF($A$1=3,G230,IF($A$1=4,G280,IF($A$1=5,G330)))))</f>
        <v>#DIV/0!</v>
      </c>
      <c r="J29" s="60" t="e">
        <f>IF($A$1=1,N130,IF($A$1=2,N180,IF($A$1=3,N230,IF($A$1=4,N280,IF($A$1=5,N330)))))</f>
        <v>#DIV/0!</v>
      </c>
      <c r="K29" s="60" t="e">
        <f>IF($A$1=1,N131,IF($A$1=2,N181,IF($A$1=3,N231,IF($A$1=4,N281,IF($A$1=5,N331)))))</f>
        <v>#DIV/0!</v>
      </c>
      <c r="P29" s="1171">
        <v>1.75</v>
      </c>
      <c r="Q29" s="60">
        <v>4</v>
      </c>
      <c r="R29" s="60">
        <v>2</v>
      </c>
    </row>
    <row r="30" spans="2:36" x14ac:dyDescent="0.2">
      <c r="P30" s="60">
        <v>2</v>
      </c>
      <c r="R30" s="60">
        <v>2</v>
      </c>
    </row>
    <row r="31" spans="2:36" x14ac:dyDescent="0.2">
      <c r="B31" s="60" t="e">
        <f>IF($A$1=1,B135,IF($A$1=2,B185,IF($A$1=3,B235,IF($A$1=4,B285,IF($A$1=5,B335)))))</f>
        <v>#DIV/0!</v>
      </c>
      <c r="I31" s="60" t="e">
        <f>IF($A$1=1,I135,IF($A$1=2,I185,IF($A$1=3,I235,IF($A$1=4,I285,IF($A$1=5,I335)))))</f>
        <v>#DIV/0!</v>
      </c>
      <c r="AC31" s="60" t="e">
        <f>IF($A$1=1,P126,IF($A$1=2,P176,IF($A$1=3,P226,IF($A$1=4,P276,IF($A$1=5,P326)))))</f>
        <v>#DIV/0!</v>
      </c>
    </row>
    <row r="32" spans="2:36" x14ac:dyDescent="0.2">
      <c r="C32" s="60" t="e">
        <f t="shared" ref="C32:F37" si="69">IF($A$1=1,C136,IF($A$1=2,C186,IF($A$1=3,C236,IF($A$1=4,C286,IF($A$1=5,C336)))))</f>
        <v>#DIV/0!</v>
      </c>
      <c r="D32" s="60" t="e">
        <f t="shared" si="69"/>
        <v>#DIV/0!</v>
      </c>
      <c r="E32" s="60" t="e">
        <f t="shared" si="69"/>
        <v>#DIV/0!</v>
      </c>
      <c r="F32" s="60" t="e">
        <f t="shared" si="69"/>
        <v>#DIV/0!</v>
      </c>
      <c r="J32" s="60" t="s">
        <v>2699</v>
      </c>
      <c r="K32" s="60" t="s">
        <v>2701</v>
      </c>
      <c r="L32" s="60" t="s">
        <v>2703</v>
      </c>
      <c r="M32" s="60" t="s">
        <v>2705</v>
      </c>
      <c r="T32" s="1019" t="str">
        <f>DuctsI!F4</f>
        <v>R8</v>
      </c>
      <c r="AD32" s="60" t="s">
        <v>2699</v>
      </c>
      <c r="AE32" s="60" t="s">
        <v>2701</v>
      </c>
      <c r="AF32" s="60" t="s">
        <v>2703</v>
      </c>
      <c r="AG32" s="60" t="s">
        <v>2705</v>
      </c>
    </row>
    <row r="33" spans="2:34" x14ac:dyDescent="0.2">
      <c r="B33" s="60" t="e">
        <f>IF($A$1=1,B137,IF($A$1=2,B187,IF($A$1=3,B237,IF($A$1=4,B287,IF($A$1=5,B337)))))</f>
        <v>#DIV/0!</v>
      </c>
      <c r="C33" s="60" t="e">
        <f t="shared" si="69"/>
        <v>#DIV/0!</v>
      </c>
      <c r="D33" s="60" t="e">
        <f t="shared" si="69"/>
        <v>#DIV/0!</v>
      </c>
      <c r="E33" s="60" t="e">
        <f t="shared" si="69"/>
        <v>#DIV/0!</v>
      </c>
      <c r="F33" s="60" t="e">
        <f t="shared" si="69"/>
        <v>#DIV/0!</v>
      </c>
      <c r="G33" s="1019" t="e">
        <f>INDEX(B32:F37,MATCH(T33,B32:B37),MATCH(T32,B32:F32))</f>
        <v>#N/A</v>
      </c>
      <c r="I33" s="60" t="e">
        <f>IF($A$1=1,I137,IF($A$1=2,I187,IF($A$1=3,I237,IF($A$1=4,I287,IF($A$1=5,I337)))))</f>
        <v>#DIV/0!</v>
      </c>
      <c r="J33" s="60" t="e">
        <f t="shared" ref="J33:M37" si="70">IF($A$1=1,J137,IF($A$1=2,J187,IF($A$1=3,J237,IF($A$1=4,J287,IF($A$1=5,J337)))))</f>
        <v>#DIV/0!</v>
      </c>
      <c r="K33" s="60" t="e">
        <f t="shared" si="70"/>
        <v>#DIV/0!</v>
      </c>
      <c r="L33" s="60" t="e">
        <f t="shared" si="70"/>
        <v>#DIV/0!</v>
      </c>
      <c r="M33" s="60" t="e">
        <f t="shared" si="70"/>
        <v>#DIV/0!</v>
      </c>
      <c r="N33" s="1019" t="e">
        <f>INDEX(I32:M37,MATCH(T33,I32:I37),MATCH(T32,I32:M32))</f>
        <v>#N/A</v>
      </c>
      <c r="P33" s="60" t="s">
        <v>833</v>
      </c>
      <c r="Q33" s="1161" t="s">
        <v>3935</v>
      </c>
      <c r="R33" s="1162"/>
      <c r="S33" s="1019" t="str">
        <f>LEFT(Q33,11)</f>
        <v>0.06 / 0.06</v>
      </c>
      <c r="T33" s="1092" t="str">
        <f>VLOOKUP(DuctsI!M4,DuctsT!Q33:S37,3)</f>
        <v>0.12 / 0.24</v>
      </c>
      <c r="AC33" s="60" t="e">
        <f>IF($A$1=1,P128,IF($A$1=2,P178,IF($A$1=3,P228,IF($A$1=4,P278,IF($A$1=5,P328)))))</f>
        <v>#DIV/0!</v>
      </c>
      <c r="AD33" s="60" t="e">
        <f>AF33</f>
        <v>#DIV/0!</v>
      </c>
      <c r="AE33" s="60" t="e">
        <f>AF33</f>
        <v>#DIV/0!</v>
      </c>
      <c r="AF33" s="60" t="e">
        <f>IF($A$1=1,S128,IF($A$1=2,S178,IF($A$1=3,S228,IF($A$1=4,S278,IF($A$1=5,S328)))))</f>
        <v>#DIV/0!</v>
      </c>
      <c r="AG33" s="60" t="e">
        <f>AF33</f>
        <v>#DIV/0!</v>
      </c>
      <c r="AH33" s="1019" t="e">
        <f>INDEX(AC32:AG37,MATCH(T33,AC32:AC37),MATCH(T32,AC32:AG32))</f>
        <v>#N/A</v>
      </c>
    </row>
    <row r="34" spans="2:34" x14ac:dyDescent="0.2">
      <c r="B34" s="60" t="e">
        <f>IF($A$1=1,B138,IF($A$1=2,B188,IF($A$1=3,B238,IF($A$1=4,B288,IF($A$1=5,B338)))))</f>
        <v>#DIV/0!</v>
      </c>
      <c r="C34" s="60" t="e">
        <f t="shared" si="69"/>
        <v>#DIV/0!</v>
      </c>
      <c r="D34" s="60" t="e">
        <f t="shared" si="69"/>
        <v>#DIV/0!</v>
      </c>
      <c r="E34" s="60" t="e">
        <f t="shared" si="69"/>
        <v>#DIV/0!</v>
      </c>
      <c r="F34" s="60" t="e">
        <f t="shared" si="69"/>
        <v>#DIV/0!</v>
      </c>
      <c r="I34" s="60" t="e">
        <f>IF($A$1=1,I138,IF($A$1=2,I188,IF($A$1=3,I238,IF($A$1=4,I288,IF($A$1=5,I338)))))</f>
        <v>#DIV/0!</v>
      </c>
      <c r="J34" s="60" t="e">
        <f t="shared" si="70"/>
        <v>#DIV/0!</v>
      </c>
      <c r="K34" s="60" t="e">
        <f t="shared" si="70"/>
        <v>#DIV/0!</v>
      </c>
      <c r="L34" s="60" t="e">
        <f t="shared" si="70"/>
        <v>#DIV/0!</v>
      </c>
      <c r="M34" s="60" t="e">
        <f t="shared" si="70"/>
        <v>#DIV/0!</v>
      </c>
      <c r="P34" s="60" t="s">
        <v>1229</v>
      </c>
      <c r="Q34" s="1161" t="s">
        <v>3936</v>
      </c>
      <c r="R34" s="1162"/>
      <c r="S34" s="1019" t="str">
        <f>LEFT(Q34,11)</f>
        <v>0.09 / 0.15</v>
      </c>
      <c r="AC34" s="60" t="e">
        <f>IF($A$1=1,P129,IF($A$1=2,P179,IF($A$1=3,P229,IF($A$1=4,P279,IF($A$1=5,P329)))))</f>
        <v>#DIV/0!</v>
      </c>
      <c r="AD34" s="60" t="e">
        <f>AF34</f>
        <v>#DIV/0!</v>
      </c>
      <c r="AE34" s="60" t="e">
        <f>AF34</f>
        <v>#DIV/0!</v>
      </c>
      <c r="AF34" s="60" t="e">
        <f>IF($A$1=1,S129,IF($A$1=2,S179,IF($A$1=3,S229,IF($A$1=4,S279,IF($A$1=5,S329)))))</f>
        <v>#DIV/0!</v>
      </c>
      <c r="AG34" s="60" t="e">
        <f>AF34</f>
        <v>#DIV/0!</v>
      </c>
    </row>
    <row r="35" spans="2:34" x14ac:dyDescent="0.2">
      <c r="B35" s="60" t="e">
        <f>IF($A$1=1,B139,IF($A$1=2,B189,IF($A$1=3,B239,IF($A$1=4,B289,IF($A$1=5,B339)))))</f>
        <v>#DIV/0!</v>
      </c>
      <c r="C35" s="60" t="e">
        <f t="shared" si="69"/>
        <v>#DIV/0!</v>
      </c>
      <c r="D35" s="60" t="e">
        <f t="shared" si="69"/>
        <v>#DIV/0!</v>
      </c>
      <c r="E35" s="60" t="e">
        <f t="shared" si="69"/>
        <v>#DIV/0!</v>
      </c>
      <c r="F35" s="60" t="e">
        <f t="shared" si="69"/>
        <v>#DIV/0!</v>
      </c>
      <c r="I35" s="60" t="e">
        <f>IF($A$1=1,I139,IF($A$1=2,I189,IF($A$1=3,I239,IF($A$1=4,I289,IF($A$1=5,I339)))))</f>
        <v>#DIV/0!</v>
      </c>
      <c r="J35" s="60" t="e">
        <f t="shared" si="70"/>
        <v>#DIV/0!</v>
      </c>
      <c r="K35" s="60" t="e">
        <f t="shared" si="70"/>
        <v>#DIV/0!</v>
      </c>
      <c r="L35" s="60" t="e">
        <f t="shared" si="70"/>
        <v>#DIV/0!</v>
      </c>
      <c r="M35" s="60" t="e">
        <f t="shared" si="70"/>
        <v>#DIV/0!</v>
      </c>
      <c r="P35" s="60" t="s">
        <v>1302</v>
      </c>
      <c r="Q35" s="1161" t="s">
        <v>3934</v>
      </c>
      <c r="R35" s="1162"/>
      <c r="S35" s="1019" t="str">
        <f>LEFT(Q35,11)</f>
        <v>0.12 / 0.24</v>
      </c>
      <c r="AC35" s="60" t="e">
        <f>IF($A$1=1,P130,IF($A$1=2,P180,IF($A$1=3,P230,IF($A$1=4,P280,IF($A$1=5,P330)))))</f>
        <v>#DIV/0!</v>
      </c>
      <c r="AD35" s="60" t="e">
        <f>AF35</f>
        <v>#DIV/0!</v>
      </c>
      <c r="AE35" s="60" t="e">
        <f>AF35</f>
        <v>#DIV/0!</v>
      </c>
      <c r="AF35" s="60" t="e">
        <f>IF($A$1=1,S130,IF($A$1=2,S180,IF($A$1=3,S230,IF($A$1=4,S280,IF($A$1=5,S330)))))</f>
        <v>#DIV/0!</v>
      </c>
      <c r="AG35" s="60" t="e">
        <f>AF35</f>
        <v>#DIV/0!</v>
      </c>
    </row>
    <row r="36" spans="2:34" x14ac:dyDescent="0.2">
      <c r="B36" s="60" t="e">
        <f>IF($A$1=1,B140,IF($A$1=2,B190,IF($A$1=3,B240,IF($A$1=4,B290,IF($A$1=5,B340)))))</f>
        <v>#DIV/0!</v>
      </c>
      <c r="C36" s="60" t="e">
        <f t="shared" si="69"/>
        <v>#DIV/0!</v>
      </c>
      <c r="D36" s="60" t="e">
        <f t="shared" si="69"/>
        <v>#DIV/0!</v>
      </c>
      <c r="E36" s="60" t="e">
        <f t="shared" si="69"/>
        <v>#DIV/0!</v>
      </c>
      <c r="F36" s="60" t="e">
        <f t="shared" si="69"/>
        <v>#DIV/0!</v>
      </c>
      <c r="I36" s="60" t="e">
        <f>IF($A$1=1,I140,IF($A$1=2,I190,IF($A$1=3,I240,IF($A$1=4,I290,IF($A$1=5,I340)))))</f>
        <v>#DIV/0!</v>
      </c>
      <c r="J36" s="60" t="e">
        <f t="shared" si="70"/>
        <v>#DIV/0!</v>
      </c>
      <c r="K36" s="60" t="e">
        <f t="shared" si="70"/>
        <v>#DIV/0!</v>
      </c>
      <c r="L36" s="60" t="e">
        <f t="shared" si="70"/>
        <v>#DIV/0!</v>
      </c>
      <c r="M36" s="60" t="e">
        <f t="shared" si="70"/>
        <v>#DIV/0!</v>
      </c>
      <c r="P36" s="60" t="s">
        <v>1230</v>
      </c>
      <c r="Q36" s="1161" t="s">
        <v>3937</v>
      </c>
      <c r="R36" s="1162"/>
      <c r="S36" s="1019" t="str">
        <f>LEFT(Q36,11)</f>
        <v>0.24 / 0.47</v>
      </c>
      <c r="AC36" s="60" t="e">
        <f>IF($A$1=1,P131,IF($A$1=2,P181,IF($A$1=3,P231,IF($A$1=4,P281,IF($A$1=5,P331)))))</f>
        <v>#DIV/0!</v>
      </c>
      <c r="AD36" s="60" t="e">
        <f>AF36</f>
        <v>#DIV/0!</v>
      </c>
      <c r="AE36" s="60" t="e">
        <f>AF36</f>
        <v>#DIV/0!</v>
      </c>
      <c r="AF36" s="60" t="e">
        <f>IF($A$1=1,S131,IF($A$1=2,S181,IF($A$1=3,S231,IF($A$1=4,S281,IF($A$1=5,S331)))))</f>
        <v>#DIV/0!</v>
      </c>
      <c r="AG36" s="60" t="e">
        <f>AF36</f>
        <v>#DIV/0!</v>
      </c>
    </row>
    <row r="37" spans="2:34" x14ac:dyDescent="0.2">
      <c r="B37" s="60" t="e">
        <f>IF($A$1=1,B141,IF($A$1=2,B191,IF($A$1=3,B241,IF($A$1=4,B291,IF($A$1=5,B341)))))</f>
        <v>#DIV/0!</v>
      </c>
      <c r="C37" s="60" t="e">
        <f t="shared" si="69"/>
        <v>#DIV/0!</v>
      </c>
      <c r="D37" s="60" t="e">
        <f t="shared" si="69"/>
        <v>#DIV/0!</v>
      </c>
      <c r="E37" s="60" t="e">
        <f t="shared" si="69"/>
        <v>#DIV/0!</v>
      </c>
      <c r="F37" s="60" t="e">
        <f t="shared" si="69"/>
        <v>#DIV/0!</v>
      </c>
      <c r="I37" s="60" t="e">
        <f>IF($A$1=1,I141,IF($A$1=2,I191,IF($A$1=3,I241,IF($A$1=4,I291,IF($A$1=5,I341)))))</f>
        <v>#DIV/0!</v>
      </c>
      <c r="J37" s="60" t="e">
        <f t="shared" si="70"/>
        <v>#DIV/0!</v>
      </c>
      <c r="K37" s="60" t="e">
        <f t="shared" si="70"/>
        <v>#DIV/0!</v>
      </c>
      <c r="L37" s="60" t="e">
        <f t="shared" si="70"/>
        <v>#DIV/0!</v>
      </c>
      <c r="M37" s="60" t="e">
        <f t="shared" si="70"/>
        <v>#DIV/0!</v>
      </c>
      <c r="P37" s="60" t="s">
        <v>1231</v>
      </c>
      <c r="Q37" s="1161" t="s">
        <v>3938</v>
      </c>
      <c r="R37" s="1162"/>
      <c r="S37" s="1019" t="str">
        <f>LEFT(Q37,11)</f>
        <v>0.35 / 0.70</v>
      </c>
      <c r="AC37" s="60" t="e">
        <f>IF($A$1=1,P132,IF($A$1=2,P182,IF($A$1=3,P232,IF($A$1=4,P282,IF($A$1=5,P332)))))</f>
        <v>#DIV/0!</v>
      </c>
      <c r="AD37" s="60" t="e">
        <f>AF37</f>
        <v>#DIV/0!</v>
      </c>
      <c r="AE37" s="60" t="e">
        <f>AF37</f>
        <v>#DIV/0!</v>
      </c>
      <c r="AF37" s="60" t="e">
        <f>IF($A$1=1,S132,IF($A$1=2,S182,IF($A$1=3,S232,IF($A$1=4,S282,IF($A$1=5,S332)))))</f>
        <v>#DIV/0!</v>
      </c>
      <c r="AG37" s="60" t="e">
        <f>AF37</f>
        <v>#DIV/0!</v>
      </c>
    </row>
    <row r="40" spans="2:34" x14ac:dyDescent="0.2">
      <c r="B40" s="60" t="e">
        <f>IF($A$1=1,B144,IF($A$1=2,B194,IF($A$1=3,B244,IF($A$1=4,B294,IF($A$1=5,B344)))))</f>
        <v>#DIV/0!</v>
      </c>
    </row>
    <row r="42" spans="2:34" x14ac:dyDescent="0.2">
      <c r="B42" s="60" t="e">
        <f>IF($A$1=1,B146,IF($A$1=2,B196,IF($A$1=3,B246,IF($A$1=4,B296,IF($A$1=5,B346)))))</f>
        <v>#DIV/0!</v>
      </c>
      <c r="E42" s="60" t="s">
        <v>30</v>
      </c>
    </row>
    <row r="43" spans="2:34" x14ac:dyDescent="0.2">
      <c r="B43" s="60">
        <v>0</v>
      </c>
      <c r="C43" s="60">
        <v>1</v>
      </c>
      <c r="D43" s="60">
        <v>4500</v>
      </c>
      <c r="E43" s="60">
        <v>5250</v>
      </c>
      <c r="F43" s="60">
        <v>6000</v>
      </c>
      <c r="G43" s="60">
        <v>6750</v>
      </c>
      <c r="H43" s="60">
        <v>7500</v>
      </c>
      <c r="I43" s="60">
        <v>8250</v>
      </c>
      <c r="J43" s="60">
        <v>9000</v>
      </c>
      <c r="K43" s="60">
        <v>9750</v>
      </c>
      <c r="L43" s="60">
        <v>10500</v>
      </c>
      <c r="M43" s="60">
        <v>11250</v>
      </c>
      <c r="N43" s="60">
        <v>12000</v>
      </c>
      <c r="O43" s="60">
        <v>12750</v>
      </c>
      <c r="P43" s="60">
        <v>13500</v>
      </c>
      <c r="Q43" s="60">
        <v>14250</v>
      </c>
      <c r="R43" s="60">
        <v>15000</v>
      </c>
      <c r="T43" s="60" t="e">
        <f t="shared" ref="T43:T49" si="71">IF($A$1=1,L144,IF($A$1=2,L194,IF($A$1=3,L244,IF($A$1=4,L294,IF($A$1=5,L344)))))</f>
        <v>#DIV/0!</v>
      </c>
    </row>
    <row r="44" spans="2:34" x14ac:dyDescent="0.2">
      <c r="B44" s="60" t="e">
        <f>IF($A$1=1,B149,IF($A$1=2,B199,IF($A$1=3,B249,IF($A$1=4,B299,IF($A$1=5,B349)))))</f>
        <v>#DIV/0!</v>
      </c>
      <c r="C44" s="60" t="e">
        <f>(B44+D44)/2</f>
        <v>#DIV/0!</v>
      </c>
      <c r="D44" s="60" t="e">
        <f>(B44+F44)/2</f>
        <v>#DIV/0!</v>
      </c>
      <c r="E44" s="60" t="e">
        <f>(D44+F44)/2</f>
        <v>#DIV/0!</v>
      </c>
      <c r="F44" s="60" t="e">
        <f>IF($A$1=1,D149,IF($A$1=2,D199,IF($A$1=3,D249,IF($A$1=4,D299,IF($A$1=5,D349)))))</f>
        <v>#DIV/0!</v>
      </c>
      <c r="G44" s="60" t="e">
        <f>(F44+H44)/2</f>
        <v>#DIV/0!</v>
      </c>
      <c r="H44" s="60" t="e">
        <f>(F44+J44)/2</f>
        <v>#DIV/0!</v>
      </c>
      <c r="I44" s="60" t="e">
        <f>(H44+J44)/2</f>
        <v>#DIV/0!</v>
      </c>
      <c r="J44" s="60" t="e">
        <f>IF($A$1=1,F149,IF($A$1=2,F199,IF($A$1=3,F249,IF($A$1=4,F299,IF($A$1=5,F349)))))</f>
        <v>#DIV/0!</v>
      </c>
      <c r="K44" s="60" t="e">
        <f>(J44+L44)/2</f>
        <v>#DIV/0!</v>
      </c>
      <c r="L44" s="60" t="e">
        <f>(J44+N44)/2</f>
        <v>#DIV/0!</v>
      </c>
      <c r="M44" s="60" t="e">
        <f>(L44+N44)/2</f>
        <v>#DIV/0!</v>
      </c>
      <c r="N44" s="60" t="e">
        <f>IF($A$1=1,H149,IF($A$1=2,H199,IF($A$1=3,H249,IF($A$1=4,H299,IF($A$1=5,H349)))))</f>
        <v>#DIV/0!</v>
      </c>
      <c r="O44" s="60" t="e">
        <f>(N44+P44)/2</f>
        <v>#DIV/0!</v>
      </c>
      <c r="P44" s="60" t="e">
        <f>(N44+R44)/2</f>
        <v>#DIV/0!</v>
      </c>
      <c r="Q44" s="60" t="e">
        <f>(P44+R44)/2</f>
        <v>#DIV/0!</v>
      </c>
      <c r="R44" s="60" t="e">
        <f>IF($A$1=1,J149,IF($A$1=2,J199,IF($A$1=3,J249,IF($A$1=4,J299,IF($A$1=5,J349)))))</f>
        <v>#DIV/0!</v>
      </c>
      <c r="T44" s="60" t="e">
        <f t="shared" si="71"/>
        <v>#DIV/0!</v>
      </c>
      <c r="U44" s="60" t="e">
        <f t="shared" ref="U44:V49" si="72">IF($A$1=1,M145,IF($A$1=2,M195,IF($A$1=3,M245,IF($A$1=4,M295,IF($A$1=5,M345)))))</f>
        <v>#DIV/0!</v>
      </c>
      <c r="V44" s="60" t="e">
        <f t="shared" si="72"/>
        <v>#DIV/0!</v>
      </c>
    </row>
    <row r="45" spans="2:34" x14ac:dyDescent="0.2">
      <c r="B45" s="1019" t="e">
        <f>HLOOKUP('Wrk G'!$L$6,DuctsT!B43:R44,2)</f>
        <v>#DIV/0!</v>
      </c>
      <c r="T45" s="60" t="e">
        <f t="shared" si="71"/>
        <v>#DIV/0!</v>
      </c>
      <c r="U45" s="60" t="e">
        <f t="shared" si="72"/>
        <v>#DIV/0!</v>
      </c>
      <c r="V45" s="60" t="e">
        <f t="shared" si="72"/>
        <v>#DIV/0!</v>
      </c>
      <c r="W45" s="1019" t="e">
        <f>VLOOKUP(T33,T45:V49,2,)</f>
        <v>#N/A</v>
      </c>
      <c r="X45" s="1019" t="e">
        <f>VLOOKUP(T33,T45:V49,3)</f>
        <v>#N/A</v>
      </c>
    </row>
    <row r="46" spans="2:34" x14ac:dyDescent="0.2">
      <c r="T46" s="60" t="e">
        <f t="shared" si="71"/>
        <v>#DIV/0!</v>
      </c>
      <c r="U46" s="60" t="e">
        <f t="shared" si="72"/>
        <v>#DIV/0!</v>
      </c>
      <c r="V46" s="60" t="e">
        <f t="shared" si="72"/>
        <v>#DIV/0!</v>
      </c>
    </row>
    <row r="47" spans="2:34" x14ac:dyDescent="0.2">
      <c r="B47" s="60" t="e">
        <f>B42</f>
        <v>#DIV/0!</v>
      </c>
      <c r="E47" s="60" t="s">
        <v>851</v>
      </c>
      <c r="T47" s="60" t="e">
        <f t="shared" si="71"/>
        <v>#DIV/0!</v>
      </c>
      <c r="U47" s="60" t="e">
        <f t="shared" si="72"/>
        <v>#DIV/0!</v>
      </c>
      <c r="V47" s="60" t="e">
        <f t="shared" si="72"/>
        <v>#DIV/0!</v>
      </c>
    </row>
    <row r="48" spans="2:34" x14ac:dyDescent="0.2">
      <c r="B48" s="60">
        <v>0</v>
      </c>
      <c r="C48" s="60">
        <v>1</v>
      </c>
      <c r="D48" s="60">
        <v>4500</v>
      </c>
      <c r="E48" s="60">
        <v>5250</v>
      </c>
      <c r="F48" s="60">
        <v>6000</v>
      </c>
      <c r="G48" s="60">
        <v>6750</v>
      </c>
      <c r="H48" s="60">
        <v>7500</v>
      </c>
      <c r="I48" s="60">
        <v>8250</v>
      </c>
      <c r="J48" s="60">
        <v>9000</v>
      </c>
      <c r="K48" s="60">
        <v>9750</v>
      </c>
      <c r="L48" s="60">
        <v>10500</v>
      </c>
      <c r="M48" s="60">
        <v>11250</v>
      </c>
      <c r="N48" s="60">
        <v>12000</v>
      </c>
      <c r="O48" s="60">
        <v>12750</v>
      </c>
      <c r="P48" s="60">
        <v>13500</v>
      </c>
      <c r="Q48" s="60">
        <v>14250</v>
      </c>
      <c r="R48" s="60">
        <v>15000</v>
      </c>
      <c r="T48" s="60" t="e">
        <f t="shared" si="71"/>
        <v>#DIV/0!</v>
      </c>
      <c r="U48" s="60" t="e">
        <f t="shared" si="72"/>
        <v>#DIV/0!</v>
      </c>
      <c r="V48" s="60" t="e">
        <f t="shared" si="72"/>
        <v>#DIV/0!</v>
      </c>
    </row>
    <row r="49" spans="2:22" x14ac:dyDescent="0.2">
      <c r="B49" s="60" t="e">
        <f>IF($A$1=1,C149,IF($A$1=2,C199,IF($A$1=3,C249,IF($A$1=4,C299,IF($A$1=5,C349)))))</f>
        <v>#DIV/0!</v>
      </c>
      <c r="C49" s="60" t="e">
        <f>(B49+D49)/2</f>
        <v>#DIV/0!</v>
      </c>
      <c r="D49" s="60" t="e">
        <f>(B49+F49)/2</f>
        <v>#DIV/0!</v>
      </c>
      <c r="E49" s="60" t="e">
        <f>(D49+F49)/2</f>
        <v>#DIV/0!</v>
      </c>
      <c r="F49" s="60" t="e">
        <f>IF($A$1=1,E149,IF($A$1=2,E199,IF($A$1=3,E249,IF($A$1=4,E299,IF($A$1=5,E349)))))</f>
        <v>#DIV/0!</v>
      </c>
      <c r="G49" s="60" t="e">
        <f>(F49+H49)/2</f>
        <v>#DIV/0!</v>
      </c>
      <c r="H49" s="60" t="e">
        <f>(F49+J49)/2</f>
        <v>#DIV/0!</v>
      </c>
      <c r="I49" s="60" t="e">
        <f>(H49+J49)/2</f>
        <v>#DIV/0!</v>
      </c>
      <c r="J49" s="60" t="e">
        <f>IF($A$1=1,G149,IF($A$1=2,G199,IF($A$1=3,G249,IF($A$1=4,G299,IF($A$1=5,G349)))))</f>
        <v>#DIV/0!</v>
      </c>
      <c r="K49" s="60" t="e">
        <f>(J49+L49)/2</f>
        <v>#DIV/0!</v>
      </c>
      <c r="L49" s="60" t="e">
        <f>(J49+N49)/2</f>
        <v>#DIV/0!</v>
      </c>
      <c r="M49" s="60" t="e">
        <f>(L49+N49)/2</f>
        <v>#DIV/0!</v>
      </c>
      <c r="N49" s="60" t="e">
        <f>IF($A$1=1,I149,IF($A$1=2,I199,IF($A$1=3,I249,IF($A$1=4,I299,IF($A$1=5,I349)))))</f>
        <v>#DIV/0!</v>
      </c>
      <c r="O49" s="60" t="e">
        <f>(N49+P49)/2</f>
        <v>#DIV/0!</v>
      </c>
      <c r="P49" s="60" t="e">
        <f>(N49+R49)/2</f>
        <v>#DIV/0!</v>
      </c>
      <c r="Q49" s="60" t="e">
        <f>(P49+R49)/2</f>
        <v>#DIV/0!</v>
      </c>
      <c r="R49" s="60" t="e">
        <f>IF($A$1=1,K149,IF($A$1=2,K199,IF($A$1=3,K249,IF($A$1=4,K299,IF($A$1=5,K349)))))</f>
        <v>#DIV/0!</v>
      </c>
      <c r="T49" s="60" t="e">
        <f t="shared" si="71"/>
        <v>#DIV/0!</v>
      </c>
      <c r="U49" s="60" t="e">
        <f t="shared" si="72"/>
        <v>#DIV/0!</v>
      </c>
      <c r="V49" s="60" t="e">
        <f t="shared" si="72"/>
        <v>#DIV/0!</v>
      </c>
    </row>
    <row r="50" spans="2:22" x14ac:dyDescent="0.2">
      <c r="B50" s="1019" t="e">
        <f>HLOOKUP('Wrk G'!$L$6,DuctsT!B48:R49,2)</f>
        <v>#DIV/0!</v>
      </c>
    </row>
    <row r="107" spans="28:132" x14ac:dyDescent="0.2">
      <c r="AB107" s="1099" t="s">
        <v>953</v>
      </c>
      <c r="AC107" s="1113" t="s">
        <v>4154</v>
      </c>
      <c r="AD107" s="1114"/>
      <c r="AE107" s="1114"/>
      <c r="AF107" s="1114"/>
      <c r="AG107" s="1114"/>
      <c r="AH107" s="1114"/>
      <c r="AI107" s="1114"/>
      <c r="AJ107" s="1114"/>
      <c r="AK107" s="1114"/>
      <c r="AL107" s="1114"/>
      <c r="AM107" s="1114"/>
      <c r="AN107" s="1114"/>
      <c r="AO107" s="1114"/>
      <c r="AP107" s="1114"/>
      <c r="AQ107" s="1114"/>
      <c r="AR107" s="1114"/>
      <c r="AS107" s="1114"/>
      <c r="AT107" s="1114"/>
      <c r="AU107" s="1114"/>
      <c r="AV107" s="1114"/>
      <c r="AW107" s="1114"/>
      <c r="AX107" s="1114"/>
      <c r="AY107" s="1114"/>
      <c r="AZ107" s="1114"/>
      <c r="BA107" s="1099" t="s">
        <v>956</v>
      </c>
      <c r="BB107" s="1099"/>
      <c r="BI107" s="1097" t="s">
        <v>953</v>
      </c>
      <c r="BJ107" s="1115" t="s">
        <v>4154</v>
      </c>
      <c r="BK107" s="1116"/>
      <c r="BL107" s="1116"/>
      <c r="BM107" s="1116"/>
      <c r="BN107" s="1116"/>
      <c r="BO107" s="1116"/>
      <c r="BP107" s="1116"/>
      <c r="BQ107" s="1116"/>
      <c r="BR107" s="1116"/>
      <c r="BS107" s="1116"/>
      <c r="BT107" s="1116"/>
      <c r="BU107" s="1116"/>
      <c r="BV107" s="1116"/>
      <c r="BW107" s="1116"/>
      <c r="BX107" s="1116"/>
      <c r="BY107" s="1116"/>
      <c r="BZ107" s="1116"/>
      <c r="CA107" s="1097" t="s">
        <v>956</v>
      </c>
      <c r="CB107" s="1097"/>
      <c r="CH107" s="1117"/>
      <c r="CI107" s="1097" t="s">
        <v>953</v>
      </c>
      <c r="CJ107" s="1115" t="s">
        <v>4154</v>
      </c>
      <c r="CK107" s="1116"/>
      <c r="CL107" s="1116"/>
      <c r="CM107" s="1116"/>
      <c r="CN107" s="1116"/>
      <c r="CO107" s="1116"/>
      <c r="CP107" s="1116"/>
      <c r="CQ107" s="1116"/>
      <c r="CR107" s="1116"/>
      <c r="CS107" s="1116"/>
      <c r="CT107" s="1116"/>
      <c r="CU107" s="1116"/>
      <c r="CV107" s="1116"/>
      <c r="CW107" s="1116"/>
      <c r="CX107" s="1116"/>
      <c r="CY107" s="1116"/>
      <c r="CZ107" s="1116"/>
      <c r="DA107" s="1097" t="s">
        <v>956</v>
      </c>
      <c r="DB107" s="1097"/>
      <c r="DI107" s="1097" t="s">
        <v>953</v>
      </c>
      <c r="DJ107" s="1115" t="s">
        <v>4154</v>
      </c>
      <c r="DK107" s="1116"/>
      <c r="DL107" s="1116"/>
      <c r="DM107" s="1116"/>
      <c r="DN107" s="1116"/>
      <c r="DO107" s="1116"/>
      <c r="DP107" s="1116"/>
      <c r="DQ107" s="1116"/>
      <c r="DR107" s="1116"/>
      <c r="DS107" s="1116"/>
      <c r="DT107" s="1116"/>
      <c r="DU107" s="1116"/>
      <c r="DV107" s="1116"/>
      <c r="DW107" s="1116"/>
      <c r="DX107" s="1116"/>
      <c r="DY107" s="1116"/>
      <c r="DZ107" s="1116"/>
      <c r="EA107" s="1097" t="s">
        <v>956</v>
      </c>
      <c r="EB107" s="1097"/>
    </row>
    <row r="108" spans="28:132" x14ac:dyDescent="0.2">
      <c r="AB108" s="1099"/>
      <c r="AC108" s="1114"/>
      <c r="AD108" s="1114"/>
      <c r="AE108" s="1114"/>
      <c r="AF108" s="1114"/>
      <c r="AG108" s="1114"/>
      <c r="AH108" s="1114"/>
      <c r="AI108" s="1114"/>
      <c r="AJ108" s="1114"/>
      <c r="AK108" s="1114"/>
      <c r="AL108" s="1114"/>
      <c r="AM108" s="1114"/>
      <c r="AN108" s="1114"/>
      <c r="AO108" s="1114"/>
      <c r="AP108" s="1114"/>
      <c r="AQ108" s="1114"/>
      <c r="AR108" s="1114"/>
      <c r="AS108" s="1114"/>
      <c r="AT108" s="1114"/>
      <c r="AU108" s="1114"/>
      <c r="AV108" s="1114"/>
      <c r="AW108" s="1114"/>
      <c r="AX108" s="1114"/>
      <c r="AY108" s="1114"/>
      <c r="AZ108" s="1114"/>
      <c r="BA108" s="1099"/>
      <c r="BB108" s="1099"/>
      <c r="BI108" s="1097"/>
      <c r="BJ108" s="1116"/>
      <c r="BK108" s="1116"/>
      <c r="BL108" s="1116"/>
      <c r="BM108" s="1116"/>
      <c r="BN108" s="1116"/>
      <c r="BO108" s="1116"/>
      <c r="BP108" s="1116"/>
      <c r="BQ108" s="1116"/>
      <c r="BR108" s="1116"/>
      <c r="BS108" s="1116"/>
      <c r="BT108" s="1116"/>
      <c r="BU108" s="1116"/>
      <c r="BV108" s="1116"/>
      <c r="BW108" s="1116"/>
      <c r="BX108" s="1116"/>
      <c r="BY108" s="1116"/>
      <c r="BZ108" s="1116"/>
      <c r="CA108" s="1097"/>
      <c r="CB108" s="1097"/>
      <c r="CH108" s="1117"/>
      <c r="CI108" s="1097"/>
      <c r="CJ108" s="1116"/>
      <c r="CK108" s="1116"/>
      <c r="CL108" s="1116"/>
      <c r="CM108" s="1116"/>
      <c r="CN108" s="1116"/>
      <c r="CO108" s="1116"/>
      <c r="CP108" s="1116"/>
      <c r="CQ108" s="1116"/>
      <c r="CR108" s="1116"/>
      <c r="CS108" s="1116"/>
      <c r="CT108" s="1116"/>
      <c r="CU108" s="1116"/>
      <c r="CV108" s="1116"/>
      <c r="CW108" s="1116"/>
      <c r="CX108" s="1116"/>
      <c r="CY108" s="1116"/>
      <c r="CZ108" s="1116"/>
      <c r="DA108" s="1097"/>
      <c r="DB108" s="1097"/>
      <c r="DI108" s="1097"/>
      <c r="DJ108" s="1116"/>
      <c r="DK108" s="1116"/>
      <c r="DL108" s="1116"/>
      <c r="DM108" s="1116"/>
      <c r="DN108" s="1116"/>
      <c r="DO108" s="1116"/>
      <c r="DP108" s="1116"/>
      <c r="DQ108" s="1116"/>
      <c r="DR108" s="1116"/>
      <c r="DS108" s="1116"/>
      <c r="DT108" s="1116"/>
      <c r="DU108" s="1116"/>
      <c r="DV108" s="1116"/>
      <c r="DW108" s="1116"/>
      <c r="DX108" s="1116"/>
      <c r="DY108" s="1116"/>
      <c r="DZ108" s="1116"/>
      <c r="EA108" s="1097"/>
      <c r="EB108" s="1097"/>
    </row>
    <row r="109" spans="28:132" x14ac:dyDescent="0.2">
      <c r="AB109" s="1118" t="s">
        <v>3282</v>
      </c>
      <c r="AC109" s="1093" t="s">
        <v>1699</v>
      </c>
      <c r="AD109" s="1098"/>
      <c r="AE109" s="1119"/>
      <c r="AF109" s="1119"/>
      <c r="AG109" s="1100" t="s">
        <v>4157</v>
      </c>
      <c r="AH109" s="1100"/>
      <c r="AI109" s="1100"/>
      <c r="AJ109" s="1100"/>
      <c r="AK109" s="1100"/>
      <c r="AL109" s="1100"/>
      <c r="AM109" s="1098"/>
      <c r="AN109" s="1098"/>
      <c r="AO109" s="1120"/>
      <c r="AP109" s="1120"/>
      <c r="AQ109" s="1119"/>
      <c r="AR109" s="1119"/>
      <c r="AS109" s="1120"/>
      <c r="AT109" s="1120"/>
      <c r="AU109" s="1120" t="s">
        <v>910</v>
      </c>
      <c r="AV109" s="1120"/>
      <c r="AW109" s="1120"/>
      <c r="AX109" s="1119"/>
      <c r="AY109" s="1100"/>
      <c r="AZ109" s="1121"/>
      <c r="BA109" s="1122" t="s">
        <v>3283</v>
      </c>
      <c r="BB109" s="1122"/>
      <c r="BI109" s="1123" t="s">
        <v>216</v>
      </c>
      <c r="BJ109" s="1093" t="s">
        <v>1699</v>
      </c>
      <c r="BK109" s="1101"/>
      <c r="BL109" s="1117"/>
      <c r="BM109" s="1117"/>
      <c r="BN109" s="1093" t="s">
        <v>4157</v>
      </c>
      <c r="BO109" s="1093"/>
      <c r="BP109" s="1093"/>
      <c r="BQ109" s="1093"/>
      <c r="BR109" s="1101"/>
      <c r="BS109" s="1124"/>
      <c r="BT109" s="1117"/>
      <c r="BU109" s="1124"/>
      <c r="BV109" s="1124" t="s">
        <v>910</v>
      </c>
      <c r="BW109" s="1124"/>
      <c r="BX109" s="1117"/>
      <c r="BY109" s="1093"/>
      <c r="BZ109" s="1125"/>
      <c r="CA109" s="1126" t="s">
        <v>1257</v>
      </c>
      <c r="CB109" s="1126"/>
      <c r="CH109" s="1117"/>
      <c r="CI109" s="1123" t="s">
        <v>221</v>
      </c>
      <c r="CJ109" s="1093" t="s">
        <v>1699</v>
      </c>
      <c r="CK109" s="1101"/>
      <c r="CL109" s="1117"/>
      <c r="CM109" s="1117"/>
      <c r="CN109" s="1093" t="s">
        <v>4157</v>
      </c>
      <c r="CO109" s="1093"/>
      <c r="CP109" s="1093"/>
      <c r="CQ109" s="1093"/>
      <c r="CR109" s="1101"/>
      <c r="CS109" s="1124"/>
      <c r="CT109" s="1117"/>
      <c r="CU109" s="1124"/>
      <c r="CV109" s="1124" t="s">
        <v>910</v>
      </c>
      <c r="CW109" s="1124"/>
      <c r="CX109" s="1117"/>
      <c r="CY109" s="1093"/>
      <c r="CZ109" s="1125"/>
      <c r="DA109" s="1126" t="s">
        <v>1261</v>
      </c>
      <c r="DB109" s="1126"/>
      <c r="DI109" s="1123" t="s">
        <v>228</v>
      </c>
      <c r="DJ109" s="1093" t="s">
        <v>1699</v>
      </c>
      <c r="DK109" s="1101"/>
      <c r="DL109" s="1117"/>
      <c r="DM109" s="1117"/>
      <c r="DN109" s="1093" t="s">
        <v>4157</v>
      </c>
      <c r="DO109" s="1093"/>
      <c r="DP109" s="1093"/>
      <c r="DQ109" s="1093"/>
      <c r="DR109" s="1101"/>
      <c r="DS109" s="1124"/>
      <c r="DT109" s="1117"/>
      <c r="DU109" s="1124"/>
      <c r="DV109" s="1124" t="s">
        <v>910</v>
      </c>
      <c r="DW109" s="1124"/>
      <c r="DX109" s="1117"/>
      <c r="DY109" s="1093"/>
      <c r="DZ109" s="1125"/>
      <c r="EA109" s="1126" t="s">
        <v>1262</v>
      </c>
      <c r="EB109" s="1126"/>
    </row>
    <row r="110" spans="28:132" x14ac:dyDescent="0.2">
      <c r="AB110" s="1127"/>
      <c r="AC110" s="1110" t="s">
        <v>3988</v>
      </c>
      <c r="AD110" s="1128"/>
      <c r="AE110" s="1098"/>
      <c r="AF110" s="1098"/>
      <c r="AG110" s="1098"/>
      <c r="AH110" s="1098"/>
      <c r="AI110" s="1098"/>
      <c r="AJ110" s="1098"/>
      <c r="AK110" s="1098"/>
      <c r="AL110" s="1098"/>
      <c r="AM110" s="1098"/>
      <c r="AN110" s="1098"/>
      <c r="AO110" s="1098"/>
      <c r="AP110" s="1098"/>
      <c r="AQ110" s="1119"/>
      <c r="AR110" s="1119"/>
      <c r="AS110" s="1100"/>
      <c r="AT110" s="1100"/>
      <c r="AU110" s="1100" t="s">
        <v>3989</v>
      </c>
      <c r="AV110" s="1100"/>
      <c r="AW110" s="1100"/>
      <c r="AX110" s="1102"/>
      <c r="AY110" s="1098"/>
      <c r="AZ110" s="1098"/>
      <c r="BA110" s="1122"/>
      <c r="BB110" s="1122"/>
      <c r="BI110" s="1129"/>
      <c r="BJ110" s="1111" t="s">
        <v>3988</v>
      </c>
      <c r="BK110" s="1130"/>
      <c r="BL110" s="1101"/>
      <c r="BM110" s="1101"/>
      <c r="BN110" s="1101"/>
      <c r="BO110" s="1101"/>
      <c r="BP110" s="1101"/>
      <c r="BQ110" s="1101"/>
      <c r="BR110" s="1101"/>
      <c r="BS110" s="1101"/>
      <c r="BT110" s="1117"/>
      <c r="BU110" s="1093"/>
      <c r="BV110" s="1093" t="s">
        <v>3989</v>
      </c>
      <c r="BW110" s="1093"/>
      <c r="BX110" s="1103"/>
      <c r="BY110" s="1101"/>
      <c r="BZ110" s="1101"/>
      <c r="CA110" s="1126"/>
      <c r="CB110" s="1126"/>
      <c r="CH110" s="1117"/>
      <c r="CI110" s="1129"/>
      <c r="CJ110" s="1111" t="s">
        <v>3988</v>
      </c>
      <c r="CK110" s="1130"/>
      <c r="CL110" s="1101"/>
      <c r="CM110" s="1101"/>
      <c r="CN110" s="1101"/>
      <c r="CO110" s="1101"/>
      <c r="CP110" s="1101"/>
      <c r="CQ110" s="1101"/>
      <c r="CR110" s="1101"/>
      <c r="CS110" s="1101"/>
      <c r="CT110" s="1117"/>
      <c r="CU110" s="1093"/>
      <c r="CV110" s="1093" t="s">
        <v>3989</v>
      </c>
      <c r="CW110" s="1093"/>
      <c r="CX110" s="1103"/>
      <c r="CY110" s="1101"/>
      <c r="CZ110" s="1101"/>
      <c r="DA110" s="1126"/>
      <c r="DB110" s="1126"/>
      <c r="DI110" s="1129"/>
      <c r="DJ110" s="1111" t="s">
        <v>3988</v>
      </c>
      <c r="DK110" s="1130"/>
      <c r="DL110" s="1101"/>
      <c r="DM110" s="1101"/>
      <c r="DN110" s="1101"/>
      <c r="DO110" s="1101"/>
      <c r="DP110" s="1101"/>
      <c r="DQ110" s="1101"/>
      <c r="DR110" s="1101"/>
      <c r="DS110" s="1101"/>
      <c r="DT110" s="1117"/>
      <c r="DU110" s="1093"/>
      <c r="DV110" s="1093" t="s">
        <v>3989</v>
      </c>
      <c r="DW110" s="1093"/>
      <c r="DX110" s="1103"/>
      <c r="DY110" s="1101"/>
      <c r="DZ110" s="1101"/>
      <c r="EA110" s="1126"/>
      <c r="EB110" s="1126"/>
    </row>
    <row r="111" spans="28:132" x14ac:dyDescent="0.2">
      <c r="AB111" s="1095"/>
      <c r="AC111" s="1111"/>
      <c r="AD111" s="1097"/>
      <c r="AE111" s="1131"/>
      <c r="AF111" s="1093"/>
      <c r="AG111" s="1131"/>
      <c r="AH111" s="1131"/>
      <c r="AI111" s="1131"/>
      <c r="AJ111" s="1131"/>
      <c r="AK111" s="1131"/>
      <c r="AL111" s="1131"/>
      <c r="AM111" s="1131"/>
      <c r="AN111" s="1131"/>
      <c r="AO111" s="1131"/>
      <c r="AP111" s="1131"/>
      <c r="AQ111" s="1131"/>
      <c r="AR111" s="1131"/>
      <c r="AS111" s="1131"/>
      <c r="AT111" s="1131"/>
      <c r="AU111" s="1093"/>
      <c r="AV111" s="1093"/>
      <c r="AW111" s="1131"/>
      <c r="AX111" s="1131"/>
      <c r="AY111" s="1094"/>
      <c r="AZ111" s="1095"/>
      <c r="BA111" s="1131"/>
      <c r="BB111" s="1131"/>
      <c r="BI111" s="1095"/>
      <c r="BJ111" s="1111"/>
      <c r="BK111" s="1097"/>
      <c r="BL111" s="1131"/>
      <c r="BM111" s="1093"/>
      <c r="BN111" s="1131"/>
      <c r="BO111" s="1131"/>
      <c r="BP111" s="1131"/>
      <c r="BQ111" s="1131"/>
      <c r="BR111" s="1131"/>
      <c r="BS111" s="1131"/>
      <c r="BT111" s="1131"/>
      <c r="BU111" s="1131"/>
      <c r="BV111" s="1093"/>
      <c r="BW111" s="1131"/>
      <c r="BX111" s="1131"/>
      <c r="BY111" s="1094"/>
      <c r="BZ111" s="1095"/>
      <c r="CA111" s="1131"/>
      <c r="CB111" s="1131"/>
      <c r="CH111" s="1117"/>
      <c r="CI111" s="1095"/>
      <c r="CJ111" s="1111"/>
      <c r="CK111" s="1097"/>
      <c r="CL111" s="1131"/>
      <c r="CM111" s="1093"/>
      <c r="CN111" s="1131"/>
      <c r="CO111" s="1131"/>
      <c r="CP111" s="1131"/>
      <c r="CQ111" s="1131"/>
      <c r="CR111" s="1131"/>
      <c r="CS111" s="1131"/>
      <c r="CT111" s="1131"/>
      <c r="CU111" s="1131"/>
      <c r="CV111" s="1093"/>
      <c r="CW111" s="1131"/>
      <c r="CX111" s="1131"/>
      <c r="CY111" s="1094"/>
      <c r="CZ111" s="1095"/>
      <c r="DA111" s="1131"/>
      <c r="DB111" s="1131"/>
      <c r="DI111" s="1095"/>
      <c r="DJ111" s="1111"/>
      <c r="DK111" s="1097"/>
      <c r="DL111" s="1131"/>
      <c r="DM111" s="1093"/>
      <c r="DN111" s="1131"/>
      <c r="DO111" s="1131"/>
      <c r="DP111" s="1131"/>
      <c r="DQ111" s="1131"/>
      <c r="DR111" s="1131"/>
      <c r="DS111" s="1131"/>
      <c r="DT111" s="1131"/>
      <c r="DU111" s="1131"/>
      <c r="DV111" s="1093"/>
      <c r="DW111" s="1131"/>
      <c r="DX111" s="1131"/>
      <c r="DY111" s="1094"/>
      <c r="DZ111" s="1095"/>
      <c r="EA111" s="1131"/>
      <c r="EB111" s="1131"/>
    </row>
    <row r="112" spans="28:132" ht="12.75" x14ac:dyDescent="0.2">
      <c r="AB112" s="1112"/>
      <c r="AC112" s="1112"/>
      <c r="AD112" s="1112"/>
      <c r="AE112" s="1093"/>
      <c r="AF112" s="1093"/>
      <c r="AG112" s="1093"/>
      <c r="AH112" s="1093"/>
      <c r="AI112" s="1093"/>
      <c r="AJ112" s="1093"/>
      <c r="AK112" s="1106"/>
      <c r="AL112" s="1106"/>
      <c r="AM112" s="1093"/>
      <c r="AN112" s="1093"/>
      <c r="AO112" s="1093"/>
      <c r="AP112" s="1093"/>
      <c r="AQ112" s="1093"/>
      <c r="AR112" s="1093"/>
      <c r="AS112" s="1106"/>
      <c r="AT112" s="1106"/>
      <c r="AU112" s="1112"/>
      <c r="AV112" s="1112"/>
      <c r="AW112" s="1112"/>
      <c r="AX112" s="1112"/>
      <c r="AY112" s="1112"/>
      <c r="AZ112" s="1112"/>
      <c r="BA112" s="1112"/>
      <c r="BB112" s="1112"/>
      <c r="BI112" s="1112"/>
      <c r="BJ112" s="1112"/>
      <c r="BK112" s="1112"/>
      <c r="BL112" s="1093"/>
      <c r="BM112" s="1093"/>
      <c r="BN112" s="1093"/>
      <c r="BO112" s="1093"/>
      <c r="BP112" s="1093"/>
      <c r="BQ112" s="1106"/>
      <c r="BR112" s="1093"/>
      <c r="BS112" s="1093"/>
      <c r="BT112" s="1093"/>
      <c r="BU112" s="1106"/>
      <c r="BV112" s="1112"/>
      <c r="BW112" s="1112"/>
      <c r="BX112" s="1112"/>
      <c r="BY112" s="1112"/>
      <c r="BZ112" s="1112"/>
      <c r="CA112" s="1112"/>
      <c r="CB112" s="1112"/>
      <c r="CH112" s="1132"/>
      <c r="CI112" s="1112"/>
      <c r="CJ112" s="1112"/>
      <c r="CK112" s="1112"/>
      <c r="CL112" s="1093"/>
      <c r="CM112" s="1093"/>
      <c r="CN112" s="1093"/>
      <c r="CO112" s="1093"/>
      <c r="CP112" s="1093"/>
      <c r="CQ112" s="1106"/>
      <c r="CR112" s="1093"/>
      <c r="CS112" s="1093"/>
      <c r="CT112" s="1093"/>
      <c r="CU112" s="1106"/>
      <c r="CV112" s="1112"/>
      <c r="CW112" s="1112"/>
      <c r="CX112" s="1112"/>
      <c r="CY112" s="1112"/>
      <c r="CZ112" s="1112"/>
      <c r="DA112" s="1112"/>
      <c r="DB112" s="1112"/>
      <c r="DI112" s="1099"/>
      <c r="DJ112" s="1099"/>
      <c r="DK112" s="1099"/>
      <c r="DL112" s="1100"/>
      <c r="DM112" s="1100"/>
      <c r="DN112" s="1100"/>
      <c r="DO112" s="1100"/>
      <c r="DP112" s="1100"/>
      <c r="DQ112" s="1107"/>
      <c r="DR112" s="1100"/>
      <c r="DS112" s="1100"/>
      <c r="DT112" s="1100"/>
      <c r="DU112" s="1107"/>
      <c r="DV112" s="1099"/>
      <c r="DW112" s="1099"/>
      <c r="DX112" s="1099"/>
      <c r="DY112" s="1099"/>
      <c r="DZ112" s="1099"/>
      <c r="EA112" s="1099"/>
      <c r="EB112" s="1099"/>
    </row>
    <row r="113" spans="1:132" ht="12.75" x14ac:dyDescent="0.2">
      <c r="AB113" s="1093" t="s">
        <v>3990</v>
      </c>
      <c r="AC113" s="1124"/>
      <c r="AD113" s="1124"/>
      <c r="AE113" s="1124"/>
      <c r="AF113" s="1124"/>
      <c r="AG113" s="1124"/>
      <c r="AH113" s="1133"/>
      <c r="AI113" s="1093" t="s">
        <v>3960</v>
      </c>
      <c r="AJ113" s="1093"/>
      <c r="AK113" s="1124"/>
      <c r="AL113" s="1124"/>
      <c r="AM113" s="1124"/>
      <c r="AN113" s="1124"/>
      <c r="AO113" s="1124"/>
      <c r="AP113" s="1124"/>
      <c r="AQ113" s="1124"/>
      <c r="AR113" s="1124"/>
      <c r="AS113" s="1124"/>
      <c r="AT113" s="1124"/>
      <c r="AU113" s="1097"/>
      <c r="AV113" s="1097"/>
      <c r="AW113" s="1093" t="s">
        <v>3961</v>
      </c>
      <c r="AX113" s="1124"/>
      <c r="AY113" s="1124"/>
      <c r="AZ113" s="1124"/>
      <c r="BA113" s="1124"/>
      <c r="BB113" s="1124"/>
      <c r="BI113" s="1093" t="s">
        <v>3990</v>
      </c>
      <c r="BJ113" s="1124"/>
      <c r="BK113" s="1124"/>
      <c r="BL113" s="1124"/>
      <c r="BM113" s="1124"/>
      <c r="BN113" s="1124"/>
      <c r="BO113" s="1133"/>
      <c r="BP113" s="1093" t="s">
        <v>3960</v>
      </c>
      <c r="BQ113" s="1124"/>
      <c r="BR113" s="1124"/>
      <c r="BS113" s="1124"/>
      <c r="BT113" s="1124"/>
      <c r="BU113" s="1124"/>
      <c r="BV113" s="1097"/>
      <c r="BW113" s="1093" t="s">
        <v>3961</v>
      </c>
      <c r="BX113" s="1124"/>
      <c r="BY113" s="1124"/>
      <c r="BZ113" s="1124"/>
      <c r="CA113" s="1124"/>
      <c r="CB113" s="1124"/>
      <c r="CH113" s="1134"/>
      <c r="CI113" s="1093" t="s">
        <v>3990</v>
      </c>
      <c r="CJ113" s="1124"/>
      <c r="CK113" s="1124"/>
      <c r="CL113" s="1124"/>
      <c r="CM113" s="1124"/>
      <c r="CN113" s="1124"/>
      <c r="CO113" s="1133"/>
      <c r="CP113" s="1093" t="s">
        <v>3960</v>
      </c>
      <c r="CQ113" s="1124"/>
      <c r="CR113" s="1124"/>
      <c r="CS113" s="1124"/>
      <c r="CT113" s="1124"/>
      <c r="CU113" s="1124"/>
      <c r="CV113" s="1097"/>
      <c r="CW113" s="1093" t="s">
        <v>223</v>
      </c>
      <c r="CX113" s="1124"/>
      <c r="CY113" s="1124"/>
      <c r="CZ113" s="1124"/>
      <c r="DA113" s="1124"/>
      <c r="DB113" s="1124"/>
      <c r="DI113" s="1100" t="s">
        <v>3990</v>
      </c>
      <c r="DJ113" s="1120"/>
      <c r="DK113" s="1120"/>
      <c r="DL113" s="1120"/>
      <c r="DM113" s="1120"/>
      <c r="DN113" s="1120"/>
      <c r="DO113" s="1135"/>
      <c r="DP113" s="1100" t="s">
        <v>3960</v>
      </c>
      <c r="DQ113" s="1120"/>
      <c r="DR113" s="1120"/>
      <c r="DS113" s="1120"/>
      <c r="DT113" s="1120"/>
      <c r="DU113" s="1120"/>
      <c r="DV113" s="1099"/>
      <c r="DW113" s="1093" t="s">
        <v>3961</v>
      </c>
      <c r="DX113" s="1124"/>
      <c r="DY113" s="1124"/>
      <c r="DZ113" s="1124"/>
      <c r="EA113" s="1124"/>
      <c r="EB113" s="1124"/>
    </row>
    <row r="114" spans="1:132" ht="12.75" x14ac:dyDescent="0.2">
      <c r="A114" s="60" t="e">
        <f>S27</f>
        <v>#DIV/0!</v>
      </c>
      <c r="B114" s="60" t="e">
        <f>IF($A$114=1,BA109,IF($A$114=2,CA109,IF($A$114=3,DA109,IF($A$114=4,EA109))))</f>
        <v>#DIV/0!</v>
      </c>
      <c r="C114" s="60" t="s">
        <v>3893</v>
      </c>
      <c r="AA114" s="1134"/>
      <c r="AB114" s="1124" t="s">
        <v>3962</v>
      </c>
      <c r="AC114" s="1131"/>
      <c r="AD114" s="1131"/>
      <c r="AE114" s="1131"/>
      <c r="AF114" s="1131"/>
      <c r="AG114" s="1131"/>
      <c r="AH114" s="1133"/>
      <c r="AI114" s="1124" t="s">
        <v>3962</v>
      </c>
      <c r="AJ114" s="1124"/>
      <c r="AK114" s="1131"/>
      <c r="AL114" s="1131"/>
      <c r="AM114" s="1131"/>
      <c r="AN114" s="1131"/>
      <c r="AO114" s="1131"/>
      <c r="AP114" s="1131"/>
      <c r="AQ114" s="1131"/>
      <c r="AR114" s="1131"/>
      <c r="AS114" s="1131"/>
      <c r="AT114" s="1131"/>
      <c r="AU114" s="1097"/>
      <c r="AV114" s="1097"/>
      <c r="AW114" s="1124" t="s">
        <v>3962</v>
      </c>
      <c r="AX114" s="1131"/>
      <c r="AY114" s="1131"/>
      <c r="AZ114" s="1131"/>
      <c r="BA114" s="1131"/>
      <c r="BB114" s="1131"/>
      <c r="BH114" s="1134"/>
      <c r="BI114" s="1124" t="s">
        <v>3962</v>
      </c>
      <c r="BJ114" s="1131"/>
      <c r="BK114" s="1131"/>
      <c r="BL114" s="1131"/>
      <c r="BM114" s="1131"/>
      <c r="BN114" s="1131"/>
      <c r="BO114" s="1133"/>
      <c r="BP114" s="1124" t="s">
        <v>3962</v>
      </c>
      <c r="BQ114" s="1131"/>
      <c r="BR114" s="1131"/>
      <c r="BS114" s="1131"/>
      <c r="BT114" s="1131"/>
      <c r="BU114" s="1131"/>
      <c r="BV114" s="1097"/>
      <c r="BW114" s="1124" t="s">
        <v>3962</v>
      </c>
      <c r="BX114" s="1131"/>
      <c r="BY114" s="1131"/>
      <c r="BZ114" s="1131"/>
      <c r="CA114" s="1131"/>
      <c r="CB114" s="1131"/>
      <c r="CH114" s="1134"/>
      <c r="CI114" s="1124" t="s">
        <v>3962</v>
      </c>
      <c r="CJ114" s="1131"/>
      <c r="CK114" s="1131"/>
      <c r="CL114" s="1131"/>
      <c r="CM114" s="1131"/>
      <c r="CN114" s="1131"/>
      <c r="CO114" s="1133"/>
      <c r="CP114" s="1124" t="s">
        <v>3962</v>
      </c>
      <c r="CQ114" s="1131"/>
      <c r="CR114" s="1131"/>
      <c r="CS114" s="1131"/>
      <c r="CT114" s="1131"/>
      <c r="CU114" s="1131"/>
      <c r="CV114" s="1097"/>
      <c r="CW114" s="1124" t="s">
        <v>3962</v>
      </c>
      <c r="CX114" s="1131"/>
      <c r="CY114" s="1131"/>
      <c r="CZ114" s="1131"/>
      <c r="DA114" s="1131"/>
      <c r="DB114" s="1131"/>
      <c r="DI114" s="1120" t="s">
        <v>3962</v>
      </c>
      <c r="DJ114" s="1105"/>
      <c r="DK114" s="1105"/>
      <c r="DL114" s="1105"/>
      <c r="DM114" s="1105"/>
      <c r="DN114" s="1105"/>
      <c r="DO114" s="1135"/>
      <c r="DP114" s="1120" t="s">
        <v>3962</v>
      </c>
      <c r="DQ114" s="1105"/>
      <c r="DR114" s="1105"/>
      <c r="DS114" s="1105"/>
      <c r="DT114" s="1105"/>
      <c r="DU114" s="1105"/>
      <c r="DV114" s="1099"/>
      <c r="DW114" s="1120" t="s">
        <v>3962</v>
      </c>
      <c r="DX114" s="1105"/>
      <c r="DY114" s="1105"/>
      <c r="DZ114" s="1105"/>
      <c r="EA114" s="1105"/>
      <c r="EB114" s="1105"/>
    </row>
    <row r="115" spans="1:132" ht="12.75" x14ac:dyDescent="0.2">
      <c r="B115" s="60" t="e">
        <f>IF($A$114=1,AB115,IF($A$114=2,BI115,IF($A$114=3,CI115,IF($A$114=4,DI115))))</f>
        <v>#DIV/0!</v>
      </c>
      <c r="C115" s="60" t="e">
        <f t="shared" ref="C115:C126" si="73">IF($A$114=1,AC115,IF($A$114=2,BJ115,IF($A$114=3,CJ115,IF($A$114=4,DI115))))</f>
        <v>#DIV/0!</v>
      </c>
      <c r="I115" s="60" t="e">
        <f>IF($A$114=1,AI115,IF($A$114=2,BP115,IF($A$114=3,CP115,IF($A$114=4,DP115))))</f>
        <v>#DIV/0!</v>
      </c>
      <c r="J115" s="60" t="e">
        <f t="shared" ref="J115:J127" si="74">IF($A$114=1,AK115,IF($A$114=2,BQ115,IF($A$114=3,CQ115,IF($A$114=4,DP115))))</f>
        <v>#DIV/0!</v>
      </c>
      <c r="P115" s="60" t="e">
        <f>IF($A$114=1,AW115,IF($A$114=2,BW115,IF($A$114=3,CW115,IF($A$114=4,DW115))))</f>
        <v>#DIV/0!</v>
      </c>
      <c r="Q115" s="60" t="e">
        <f t="shared" ref="Q115:Q123" si="75">IF($A$114=1,AX115,IF($A$114=2,BX115,IF($A$114=3,CX115,IF($A$114=4,DW115))))</f>
        <v>#DIV/0!</v>
      </c>
      <c r="AA115" s="1134"/>
      <c r="AB115" s="1131" t="s">
        <v>3068</v>
      </c>
      <c r="AC115" s="1136" t="s">
        <v>3963</v>
      </c>
      <c r="AD115" s="1137"/>
      <c r="AE115" s="1137"/>
      <c r="AF115" s="1137"/>
      <c r="AG115" s="1137"/>
      <c r="AH115" s="1097"/>
      <c r="AI115" s="1131" t="s">
        <v>3068</v>
      </c>
      <c r="AJ115" s="1131"/>
      <c r="AK115" s="1136" t="s">
        <v>3963</v>
      </c>
      <c r="AL115" s="1136"/>
      <c r="AM115" s="1137"/>
      <c r="AN115" s="1137"/>
      <c r="AO115" s="1137"/>
      <c r="AP115" s="1137"/>
      <c r="AQ115" s="1137"/>
      <c r="AR115" s="1137"/>
      <c r="AS115" s="1137"/>
      <c r="AT115" s="1137"/>
      <c r="AU115" s="1097"/>
      <c r="AV115" s="1097"/>
      <c r="AW115" s="1131" t="s">
        <v>3068</v>
      </c>
      <c r="AX115" s="1093" t="s">
        <v>3963</v>
      </c>
      <c r="AY115" s="1124"/>
      <c r="AZ115" s="1124"/>
      <c r="BA115" s="1124"/>
      <c r="BB115" s="1124"/>
      <c r="BH115" s="1134"/>
      <c r="BI115" s="1131" t="s">
        <v>3068</v>
      </c>
      <c r="BJ115" s="1136" t="s">
        <v>3963</v>
      </c>
      <c r="BK115" s="1137"/>
      <c r="BL115" s="1137"/>
      <c r="BM115" s="1137"/>
      <c r="BN115" s="1137"/>
      <c r="BO115" s="1097"/>
      <c r="BP115" s="1105" t="s">
        <v>3068</v>
      </c>
      <c r="BQ115" s="1138" t="s">
        <v>3963</v>
      </c>
      <c r="BR115" s="1113"/>
      <c r="BS115" s="1113"/>
      <c r="BT115" s="1113"/>
      <c r="BU115" s="1113"/>
      <c r="BV115" s="1097"/>
      <c r="BW115" s="1131" t="s">
        <v>3068</v>
      </c>
      <c r="BX115" s="1093" t="s">
        <v>3963</v>
      </c>
      <c r="BY115" s="1124"/>
      <c r="BZ115" s="1124"/>
      <c r="CA115" s="1124"/>
      <c r="CB115" s="1124"/>
      <c r="CH115" s="1134"/>
      <c r="CI115" s="1131" t="s">
        <v>3068</v>
      </c>
      <c r="CJ115" s="1136" t="s">
        <v>3963</v>
      </c>
      <c r="CK115" s="1137"/>
      <c r="CL115" s="1137"/>
      <c r="CM115" s="1137"/>
      <c r="CN115" s="1137"/>
      <c r="CO115" s="1097"/>
      <c r="CP115" s="1105" t="s">
        <v>3068</v>
      </c>
      <c r="CQ115" s="1138" t="s">
        <v>3963</v>
      </c>
      <c r="CR115" s="1113"/>
      <c r="CS115" s="1113"/>
      <c r="CT115" s="1113"/>
      <c r="CU115" s="1113"/>
      <c r="CV115" s="1097"/>
      <c r="CW115" s="1131" t="s">
        <v>3068</v>
      </c>
      <c r="CX115" s="1093" t="s">
        <v>3963</v>
      </c>
      <c r="CY115" s="1124"/>
      <c r="CZ115" s="1124"/>
      <c r="DA115" s="1124"/>
      <c r="DB115" s="1124"/>
      <c r="DI115" s="1105" t="s">
        <v>3068</v>
      </c>
      <c r="DJ115" s="1138" t="s">
        <v>3963</v>
      </c>
      <c r="DK115" s="1113"/>
      <c r="DL115" s="1113"/>
      <c r="DM115" s="1113"/>
      <c r="DN115" s="1113"/>
      <c r="DO115" s="1099"/>
      <c r="DP115" s="1105" t="s">
        <v>3068</v>
      </c>
      <c r="DQ115" s="1138" t="s">
        <v>3963</v>
      </c>
      <c r="DR115" s="1113"/>
      <c r="DS115" s="1113"/>
      <c r="DT115" s="1113"/>
      <c r="DU115" s="1113"/>
      <c r="DV115" s="1099"/>
      <c r="DW115" s="1105" t="s">
        <v>3068</v>
      </c>
      <c r="DX115" s="1100" t="s">
        <v>3963</v>
      </c>
      <c r="DY115" s="1120"/>
      <c r="DZ115" s="1120"/>
      <c r="EA115" s="1120"/>
      <c r="EB115" s="1120"/>
    </row>
    <row r="116" spans="1:132" ht="12.75" x14ac:dyDescent="0.2">
      <c r="B116" s="60" t="e">
        <f t="shared" ref="B116:B146" si="76">IF($A$114=1,AB116,IF($A$114=2,BI116,IF($A$114=3,CI116,IF($A$114=4,DI116))))</f>
        <v>#DIV/0!</v>
      </c>
      <c r="C116" s="60" t="e">
        <f t="shared" si="73"/>
        <v>#DIV/0!</v>
      </c>
      <c r="D116" s="60" t="e">
        <f t="shared" ref="D116:D126" si="77">IF($A$114=1,AD116,IF($A$114=2,BK116,IF($A$114=3,CK116,IF($A$114=4,DJ116))))</f>
        <v>#DIV/0!</v>
      </c>
      <c r="E116" s="60" t="e">
        <f t="shared" ref="E116:E126" si="78">IF($A$114=1,AE116,IF($A$114=2,BL116,IF($A$114=3,CL116,IF($A$114=4,DK116))))</f>
        <v>#DIV/0!</v>
      </c>
      <c r="F116" s="60" t="e">
        <f t="shared" ref="F116:F126" si="79">IF($A$114=1,AF116,IF($A$114=2,BM116,IF($A$114=3,CM116,IF($A$114=4,DL116))))</f>
        <v>#DIV/0!</v>
      </c>
      <c r="G116" s="60" t="e">
        <f t="shared" ref="G116:G126" si="80">IF($A$114=1,AG116,IF($A$114=2,BN116,IF($A$114=3,CN116,IF($A$114=4,DM116))))</f>
        <v>#DIV/0!</v>
      </c>
      <c r="I116" s="60" t="e">
        <f t="shared" ref="I116:I127" si="81">IF($A$114=1,AI116,IF($A$114=2,BP116,IF($A$114=3,CP116,IF($A$114=4,DP116))))</f>
        <v>#DIV/0!</v>
      </c>
      <c r="J116" s="60" t="e">
        <f t="shared" si="74"/>
        <v>#DIV/0!</v>
      </c>
      <c r="K116" s="60" t="e">
        <f t="shared" ref="K116:K127" si="82">IF($A$114=1,AM116,IF($A$114=2,BR116,IF($A$114=3,CR116,IF($A$114=4,DQ116))))</f>
        <v>#DIV/0!</v>
      </c>
      <c r="L116" s="60" t="e">
        <f t="shared" ref="L116:L127" si="83">IF($A$114=1,AO116,IF($A$114=2,BS116,IF($A$114=3,CS116,IF($A$114=4,DR116))))</f>
        <v>#DIV/0!</v>
      </c>
      <c r="M116" s="60" t="e">
        <f t="shared" ref="M116:M127" si="84">IF($A$114=1,AQ116,IF($A$114=2,BT116,IF($A$114=3,CT116,IF($A$114=4,DS116))))</f>
        <v>#DIV/0!</v>
      </c>
      <c r="N116" s="60" t="e">
        <f t="shared" ref="N116:N127" si="85">IF($A$114=1,AS116,IF($A$114=2,BU116,IF($A$114=3,CU116,IF($A$114=4,DT116))))</f>
        <v>#DIV/0!</v>
      </c>
      <c r="P116" s="60" t="e">
        <f t="shared" ref="P116:P123" si="86">IF($A$114=1,AW116,IF($A$114=2,BW116,IF($A$114=3,CW116,IF($A$114=4,DW116))))</f>
        <v>#DIV/0!</v>
      </c>
      <c r="Q116" s="60" t="e">
        <f t="shared" si="75"/>
        <v>#DIV/0!</v>
      </c>
      <c r="R116" s="60" t="e">
        <f t="shared" ref="R116:U123" si="87">IF($A$114=1,AY116,IF($A$114=2,BY116,IF($A$114=3,CY116,IF($A$114=4,DX116))))</f>
        <v>#DIV/0!</v>
      </c>
      <c r="S116" s="60" t="e">
        <f t="shared" si="87"/>
        <v>#DIV/0!</v>
      </c>
      <c r="T116" s="60" t="e">
        <f t="shared" si="87"/>
        <v>#DIV/0!</v>
      </c>
      <c r="U116" s="60" t="e">
        <f t="shared" si="87"/>
        <v>#DIV/0!</v>
      </c>
      <c r="AA116" s="1134"/>
      <c r="AB116" s="1100" t="s">
        <v>2760</v>
      </c>
      <c r="AC116" s="1139">
        <v>3000</v>
      </c>
      <c r="AD116" s="1139">
        <v>6000</v>
      </c>
      <c r="AE116" s="1139">
        <v>9000</v>
      </c>
      <c r="AF116" s="1139">
        <v>12000</v>
      </c>
      <c r="AG116" s="1139">
        <v>15000</v>
      </c>
      <c r="AH116" s="1097"/>
      <c r="AI116" s="1100" t="s">
        <v>2760</v>
      </c>
      <c r="AJ116" s="1100"/>
      <c r="AK116" s="1139">
        <v>3000</v>
      </c>
      <c r="AL116" s="1139"/>
      <c r="AM116" s="1139">
        <v>6000</v>
      </c>
      <c r="AN116" s="1139"/>
      <c r="AO116" s="1139">
        <v>9000</v>
      </c>
      <c r="AP116" s="1139"/>
      <c r="AQ116" s="1139">
        <v>12000</v>
      </c>
      <c r="AR116" s="1139"/>
      <c r="AS116" s="1139">
        <v>15000</v>
      </c>
      <c r="AT116" s="1139"/>
      <c r="AU116" s="1097"/>
      <c r="AV116" s="1097"/>
      <c r="AW116" s="1093" t="s">
        <v>3964</v>
      </c>
      <c r="AX116" s="1107">
        <v>3000</v>
      </c>
      <c r="AY116" s="1107">
        <v>6000</v>
      </c>
      <c r="AZ116" s="1107">
        <v>9000</v>
      </c>
      <c r="BA116" s="1107">
        <v>12000</v>
      </c>
      <c r="BB116" s="1107">
        <v>15000</v>
      </c>
      <c r="BH116" s="1134"/>
      <c r="BI116" s="1100" t="s">
        <v>2760</v>
      </c>
      <c r="BJ116" s="1139">
        <v>3000</v>
      </c>
      <c r="BK116" s="1139">
        <v>6000</v>
      </c>
      <c r="BL116" s="1139">
        <v>9000</v>
      </c>
      <c r="BM116" s="1139">
        <v>12000</v>
      </c>
      <c r="BN116" s="1139">
        <v>15000</v>
      </c>
      <c r="BO116" s="1099"/>
      <c r="BP116" s="1100" t="s">
        <v>2760</v>
      </c>
      <c r="BQ116" s="1139">
        <v>3000</v>
      </c>
      <c r="BR116" s="1139">
        <v>6000</v>
      </c>
      <c r="BS116" s="1139">
        <v>9000</v>
      </c>
      <c r="BT116" s="1139">
        <v>12000</v>
      </c>
      <c r="BU116" s="1139">
        <v>15000</v>
      </c>
      <c r="BV116" s="1099"/>
      <c r="BW116" s="1100" t="s">
        <v>3964</v>
      </c>
      <c r="BX116" s="1139">
        <v>3000</v>
      </c>
      <c r="BY116" s="1139">
        <v>6000</v>
      </c>
      <c r="BZ116" s="1139">
        <v>9000</v>
      </c>
      <c r="CA116" s="1139">
        <v>12000</v>
      </c>
      <c r="CB116" s="1139">
        <v>15000</v>
      </c>
      <c r="CH116" s="1134"/>
      <c r="CI116" s="1100" t="s">
        <v>2760</v>
      </c>
      <c r="CJ116" s="1139">
        <v>3000</v>
      </c>
      <c r="CK116" s="1139">
        <v>6000</v>
      </c>
      <c r="CL116" s="1139">
        <v>9000</v>
      </c>
      <c r="CM116" s="1139">
        <v>12000</v>
      </c>
      <c r="CN116" s="1139">
        <v>15000</v>
      </c>
      <c r="CO116" s="1099"/>
      <c r="CP116" s="1100" t="s">
        <v>2760</v>
      </c>
      <c r="CQ116" s="1139">
        <v>3000</v>
      </c>
      <c r="CR116" s="1139">
        <v>6000</v>
      </c>
      <c r="CS116" s="1139">
        <v>9000</v>
      </c>
      <c r="CT116" s="1139">
        <v>12000</v>
      </c>
      <c r="CU116" s="1139">
        <v>15000</v>
      </c>
      <c r="CV116" s="1099"/>
      <c r="CW116" s="1100" t="s">
        <v>3472</v>
      </c>
      <c r="CX116" s="1139">
        <v>3000</v>
      </c>
      <c r="CY116" s="1139">
        <v>6000</v>
      </c>
      <c r="CZ116" s="1139">
        <v>9000</v>
      </c>
      <c r="DA116" s="1139">
        <v>12000</v>
      </c>
      <c r="DB116" s="1139">
        <v>15000</v>
      </c>
      <c r="DI116" s="1100" t="s">
        <v>2760</v>
      </c>
      <c r="DJ116" s="1139">
        <v>3000</v>
      </c>
      <c r="DK116" s="1139">
        <v>6000</v>
      </c>
      <c r="DL116" s="1139">
        <v>9000</v>
      </c>
      <c r="DM116" s="1139">
        <v>12000</v>
      </c>
      <c r="DN116" s="1139">
        <v>15000</v>
      </c>
      <c r="DO116" s="1099"/>
      <c r="DP116" s="1100" t="s">
        <v>2760</v>
      </c>
      <c r="DQ116" s="1139">
        <v>3000</v>
      </c>
      <c r="DR116" s="1139">
        <v>6000</v>
      </c>
      <c r="DS116" s="1139">
        <v>9000</v>
      </c>
      <c r="DT116" s="1139">
        <v>12000</v>
      </c>
      <c r="DU116" s="1139">
        <v>15000</v>
      </c>
      <c r="DV116" s="1099"/>
      <c r="DW116" s="1100" t="s">
        <v>3964</v>
      </c>
      <c r="DX116" s="1139">
        <v>3000</v>
      </c>
      <c r="DY116" s="1139">
        <v>6000</v>
      </c>
      <c r="DZ116" s="1139">
        <v>9000</v>
      </c>
      <c r="EA116" s="1139">
        <v>12000</v>
      </c>
      <c r="EB116" s="1139">
        <v>15000</v>
      </c>
    </row>
    <row r="117" spans="1:132" ht="12.75" x14ac:dyDescent="0.2">
      <c r="B117" s="60" t="e">
        <f t="shared" si="76"/>
        <v>#DIV/0!</v>
      </c>
      <c r="C117" s="60" t="e">
        <f t="shared" si="73"/>
        <v>#DIV/0!</v>
      </c>
      <c r="D117" s="60" t="e">
        <f t="shared" si="77"/>
        <v>#DIV/0!</v>
      </c>
      <c r="E117" s="60" t="e">
        <f t="shared" si="78"/>
        <v>#DIV/0!</v>
      </c>
      <c r="F117" s="60" t="e">
        <f t="shared" si="79"/>
        <v>#DIV/0!</v>
      </c>
      <c r="G117" s="60" t="e">
        <f t="shared" si="80"/>
        <v>#DIV/0!</v>
      </c>
      <c r="I117" s="60" t="e">
        <f t="shared" si="81"/>
        <v>#DIV/0!</v>
      </c>
      <c r="J117" s="60" t="e">
        <f t="shared" si="74"/>
        <v>#DIV/0!</v>
      </c>
      <c r="K117" s="60" t="e">
        <f t="shared" si="82"/>
        <v>#DIV/0!</v>
      </c>
      <c r="L117" s="60" t="e">
        <f t="shared" si="83"/>
        <v>#DIV/0!</v>
      </c>
      <c r="M117" s="60" t="e">
        <f t="shared" si="84"/>
        <v>#DIV/0!</v>
      </c>
      <c r="N117" s="60" t="e">
        <f t="shared" si="85"/>
        <v>#DIV/0!</v>
      </c>
      <c r="P117" s="60" t="e">
        <f t="shared" si="86"/>
        <v>#DIV/0!</v>
      </c>
      <c r="Q117" s="60" t="e">
        <f t="shared" si="75"/>
        <v>#DIV/0!</v>
      </c>
      <c r="R117" s="60" t="e">
        <f t="shared" si="87"/>
        <v>#DIV/0!</v>
      </c>
      <c r="S117" s="60" t="e">
        <f t="shared" si="87"/>
        <v>#DIV/0!</v>
      </c>
      <c r="T117" s="60" t="e">
        <f t="shared" si="87"/>
        <v>#DIV/0!</v>
      </c>
      <c r="U117" s="60" t="e">
        <f t="shared" si="87"/>
        <v>#DIV/0!</v>
      </c>
      <c r="AA117" s="1134"/>
      <c r="AB117" s="1107">
        <v>-20</v>
      </c>
      <c r="AC117" s="1140">
        <v>0.20850000000000005</v>
      </c>
      <c r="AD117" s="1140">
        <v>0.229375</v>
      </c>
      <c r="AE117" s="1140">
        <v>0.25025000000000003</v>
      </c>
      <c r="AF117" s="1140">
        <v>0.27112500000000006</v>
      </c>
      <c r="AG117" s="1140">
        <v>0.29200000000000004</v>
      </c>
      <c r="AH117" s="1097"/>
      <c r="AI117" s="1107">
        <v>60</v>
      </c>
      <c r="AJ117" s="1107"/>
      <c r="AK117" s="1140">
        <v>7.0000000000000062E-3</v>
      </c>
      <c r="AL117" s="1140"/>
      <c r="AM117" s="1140">
        <v>7.7500000000000069E-3</v>
      </c>
      <c r="AN117" s="1140"/>
      <c r="AO117" s="1140">
        <v>8.5000000000000075E-3</v>
      </c>
      <c r="AP117" s="1140"/>
      <c r="AQ117" s="1140">
        <v>9.2500000000000082E-3</v>
      </c>
      <c r="AR117" s="1140"/>
      <c r="AS117" s="1140">
        <v>0.01</v>
      </c>
      <c r="AT117" s="1140"/>
      <c r="AU117" s="1097"/>
      <c r="AV117" s="1097"/>
      <c r="AW117" s="1106">
        <v>10</v>
      </c>
      <c r="AX117" s="1141">
        <v>362</v>
      </c>
      <c r="AY117" s="1141">
        <v>936</v>
      </c>
      <c r="AZ117" s="1141">
        <v>1510</v>
      </c>
      <c r="BA117" s="1141">
        <v>2084</v>
      </c>
      <c r="BB117" s="1141">
        <v>2658</v>
      </c>
      <c r="BH117" s="1134"/>
      <c r="BI117" s="1107">
        <v>-20</v>
      </c>
      <c r="BJ117" s="1142">
        <v>0.13599999999999998</v>
      </c>
      <c r="BK117" s="1142">
        <v>0.15049999999999997</v>
      </c>
      <c r="BL117" s="1142">
        <v>0.16500000000000001</v>
      </c>
      <c r="BM117" s="1142">
        <v>0.17949999999999997</v>
      </c>
      <c r="BN117" s="1142">
        <v>0.19399999999999995</v>
      </c>
      <c r="BO117" s="1099"/>
      <c r="BP117" s="1107">
        <v>60</v>
      </c>
      <c r="BQ117" s="1142">
        <v>2.0000000000000157E-3</v>
      </c>
      <c r="BR117" s="1142">
        <v>2.7500000000000159E-3</v>
      </c>
      <c r="BS117" s="1142">
        <v>3.5000000000000161E-3</v>
      </c>
      <c r="BT117" s="1142">
        <v>4.2500000000000168E-3</v>
      </c>
      <c r="BU117" s="1142">
        <v>5.0000000000000166E-3</v>
      </c>
      <c r="BV117" s="1099"/>
      <c r="BW117" s="1107">
        <v>10</v>
      </c>
      <c r="BX117" s="1139">
        <v>1944</v>
      </c>
      <c r="BY117" s="1139">
        <v>4989.25</v>
      </c>
      <c r="BZ117" s="1139">
        <v>8034.5</v>
      </c>
      <c r="CA117" s="1139">
        <v>11079.75</v>
      </c>
      <c r="CB117" s="1139">
        <v>14125</v>
      </c>
      <c r="CH117" s="1134"/>
      <c r="CI117" s="1107">
        <v>-20</v>
      </c>
      <c r="CJ117" s="1142">
        <v>0.12025</v>
      </c>
      <c r="CK117" s="1142">
        <v>0.13318749999999999</v>
      </c>
      <c r="CL117" s="1142">
        <v>0.146125</v>
      </c>
      <c r="CM117" s="1142">
        <v>0.1590625</v>
      </c>
      <c r="CN117" s="1142">
        <v>0.17199999999999999</v>
      </c>
      <c r="CO117" s="1099"/>
      <c r="CP117" s="1107">
        <v>60</v>
      </c>
      <c r="CQ117" s="1142">
        <v>2.0000000000000018E-3</v>
      </c>
      <c r="CR117" s="1142">
        <v>2.6250000000000015E-3</v>
      </c>
      <c r="CS117" s="1142">
        <v>3.2500000000000016E-3</v>
      </c>
      <c r="CT117" s="1142">
        <v>3.8750000000000017E-3</v>
      </c>
      <c r="CU117" s="1142">
        <v>4.5000000000000014E-3</v>
      </c>
      <c r="CV117" s="1099"/>
      <c r="CW117" s="1107">
        <v>10</v>
      </c>
      <c r="CX117" s="1139">
        <v>1287</v>
      </c>
      <c r="CY117" s="1139">
        <v>3298.25</v>
      </c>
      <c r="CZ117" s="1139">
        <v>5309.5</v>
      </c>
      <c r="DA117" s="1139">
        <v>7320.75</v>
      </c>
      <c r="DB117" s="1139">
        <v>9332</v>
      </c>
      <c r="DI117" s="1107">
        <v>-20</v>
      </c>
      <c r="DJ117" s="1142">
        <v>0.10450000000000001</v>
      </c>
      <c r="DK117" s="1142">
        <v>0.11587500000000001</v>
      </c>
      <c r="DL117" s="1142">
        <v>0.12725000000000003</v>
      </c>
      <c r="DM117" s="1142">
        <v>0.138625</v>
      </c>
      <c r="DN117" s="1142">
        <v>0.15</v>
      </c>
      <c r="DO117" s="1099"/>
      <c r="DP117" s="1107">
        <v>60</v>
      </c>
      <c r="DQ117" s="1142">
        <v>1.9999999999999875E-3</v>
      </c>
      <c r="DR117" s="1142">
        <v>2.4999999999999875E-3</v>
      </c>
      <c r="DS117" s="1142">
        <v>2.9999999999999871E-3</v>
      </c>
      <c r="DT117" s="1142">
        <v>3.4999999999999871E-3</v>
      </c>
      <c r="DU117" s="1142">
        <v>3.9999999999999862E-3</v>
      </c>
      <c r="DV117" s="1099"/>
      <c r="DW117" s="1107">
        <v>10</v>
      </c>
      <c r="DX117" s="1139">
        <v>630</v>
      </c>
      <c r="DY117" s="1139">
        <v>1607.25</v>
      </c>
      <c r="DZ117" s="1139">
        <v>2584.5</v>
      </c>
      <c r="EA117" s="1139">
        <v>3561.75</v>
      </c>
      <c r="EB117" s="1139">
        <v>4539</v>
      </c>
    </row>
    <row r="118" spans="1:132" ht="12.75" x14ac:dyDescent="0.2">
      <c r="B118" s="60" t="e">
        <f t="shared" si="76"/>
        <v>#DIV/0!</v>
      </c>
      <c r="C118" s="60" t="e">
        <f t="shared" si="73"/>
        <v>#DIV/0!</v>
      </c>
      <c r="D118" s="60" t="e">
        <f t="shared" si="77"/>
        <v>#DIV/0!</v>
      </c>
      <c r="E118" s="60" t="e">
        <f t="shared" si="78"/>
        <v>#DIV/0!</v>
      </c>
      <c r="F118" s="60" t="e">
        <f t="shared" si="79"/>
        <v>#DIV/0!</v>
      </c>
      <c r="G118" s="60" t="e">
        <f t="shared" si="80"/>
        <v>#DIV/0!</v>
      </c>
      <c r="I118" s="60" t="e">
        <f t="shared" si="81"/>
        <v>#DIV/0!</v>
      </c>
      <c r="J118" s="60" t="e">
        <f t="shared" si="74"/>
        <v>#DIV/0!</v>
      </c>
      <c r="K118" s="60" t="e">
        <f t="shared" si="82"/>
        <v>#DIV/0!</v>
      </c>
      <c r="L118" s="60" t="e">
        <f t="shared" si="83"/>
        <v>#DIV/0!</v>
      </c>
      <c r="M118" s="60" t="e">
        <f t="shared" si="84"/>
        <v>#DIV/0!</v>
      </c>
      <c r="N118" s="60" t="e">
        <f t="shared" si="85"/>
        <v>#DIV/0!</v>
      </c>
      <c r="P118" s="60" t="e">
        <f t="shared" si="86"/>
        <v>#DIV/0!</v>
      </c>
      <c r="Q118" s="60" t="e">
        <f t="shared" si="75"/>
        <v>#DIV/0!</v>
      </c>
      <c r="R118" s="60" t="e">
        <f t="shared" si="87"/>
        <v>#DIV/0!</v>
      </c>
      <c r="S118" s="60" t="e">
        <f t="shared" si="87"/>
        <v>#DIV/0!</v>
      </c>
      <c r="T118" s="60" t="e">
        <f t="shared" si="87"/>
        <v>#DIV/0!</v>
      </c>
      <c r="U118" s="60" t="e">
        <f t="shared" si="87"/>
        <v>#DIV/0!</v>
      </c>
      <c r="AA118" s="1134"/>
      <c r="AB118" s="1107">
        <f>10+AB117</f>
        <v>-10</v>
      </c>
      <c r="AC118" s="1140">
        <v>0.19066666666666671</v>
      </c>
      <c r="AD118" s="1140">
        <v>0.20975000000000002</v>
      </c>
      <c r="AE118" s="1140">
        <v>0.22883333333333336</v>
      </c>
      <c r="AF118" s="1140">
        <v>0.24791666666666667</v>
      </c>
      <c r="AG118" s="1140">
        <v>0.26700000000000002</v>
      </c>
      <c r="AH118" s="1097"/>
      <c r="AI118" s="1107">
        <v>70</v>
      </c>
      <c r="AJ118" s="1107"/>
      <c r="AK118" s="1140">
        <v>3.3800000000000004E-2</v>
      </c>
      <c r="AL118" s="1140"/>
      <c r="AM118" s="1140">
        <v>3.7100000000000001E-2</v>
      </c>
      <c r="AN118" s="1140"/>
      <c r="AO118" s="1140">
        <v>4.0400000000000005E-2</v>
      </c>
      <c r="AP118" s="1140"/>
      <c r="AQ118" s="1140">
        <v>4.3700000000000003E-2</v>
      </c>
      <c r="AR118" s="1140"/>
      <c r="AS118" s="1140">
        <v>4.7000000000000007E-2</v>
      </c>
      <c r="AT118" s="1140"/>
      <c r="AU118" s="1097"/>
      <c r="AV118" s="1097"/>
      <c r="AW118" s="1106">
        <v>20</v>
      </c>
      <c r="AX118" s="1141">
        <v>549.33333333333337</v>
      </c>
      <c r="AY118" s="1141">
        <v>1418.9583333333335</v>
      </c>
      <c r="AZ118" s="1141">
        <v>2288.5833333333335</v>
      </c>
      <c r="BA118" s="1141">
        <v>3158.2083333333335</v>
      </c>
      <c r="BB118" s="1141">
        <v>4027.8333333333335</v>
      </c>
      <c r="BH118" s="1134"/>
      <c r="BI118" s="1107">
        <f t="shared" ref="BI118:BI126" si="88">10+BI117</f>
        <v>-10</v>
      </c>
      <c r="BJ118" s="1142">
        <v>0.124</v>
      </c>
      <c r="BK118" s="1142">
        <v>0.13724999999999998</v>
      </c>
      <c r="BL118" s="1142">
        <v>0.15049999999999997</v>
      </c>
      <c r="BM118" s="1142">
        <v>0.16375000000000001</v>
      </c>
      <c r="BN118" s="1142">
        <v>0.17699999999999996</v>
      </c>
      <c r="BO118" s="1099"/>
      <c r="BP118" s="1107">
        <v>70</v>
      </c>
      <c r="BQ118" s="1142">
        <v>1.9100000000000013E-2</v>
      </c>
      <c r="BR118" s="1142">
        <v>2.180000000000001E-2</v>
      </c>
      <c r="BS118" s="1142">
        <v>2.4500000000000008E-2</v>
      </c>
      <c r="BT118" s="1142">
        <v>2.7200000000000009E-2</v>
      </c>
      <c r="BU118" s="1142">
        <v>2.990000000000001E-2</v>
      </c>
      <c r="BV118" s="1099"/>
      <c r="BW118" s="1107">
        <v>20</v>
      </c>
      <c r="BX118" s="1139">
        <v>2065.6666666666665</v>
      </c>
      <c r="BY118" s="1139">
        <v>5282.1666666666661</v>
      </c>
      <c r="BZ118" s="1139">
        <v>8498.6666666666661</v>
      </c>
      <c r="CA118" s="1139">
        <v>11715.166666666666</v>
      </c>
      <c r="CB118" s="1139">
        <v>14931.666666666666</v>
      </c>
      <c r="CH118" s="1134"/>
      <c r="CI118" s="1107">
        <f t="shared" ref="CI118:CI126" si="89">10+CI117</f>
        <v>-10</v>
      </c>
      <c r="CJ118" s="1142">
        <v>0.10966666666666666</v>
      </c>
      <c r="CK118" s="1142">
        <v>0.1215</v>
      </c>
      <c r="CL118" s="1142">
        <v>0.1333333333333333</v>
      </c>
      <c r="CM118" s="1142">
        <v>0.14516666666666667</v>
      </c>
      <c r="CN118" s="1142">
        <v>0.15699999999999997</v>
      </c>
      <c r="CO118" s="1099"/>
      <c r="CP118" s="1107">
        <v>70</v>
      </c>
      <c r="CQ118" s="1142">
        <v>1.6502550000000001E-2</v>
      </c>
      <c r="CR118" s="1142">
        <v>1.8815100000000001E-2</v>
      </c>
      <c r="CS118" s="1142">
        <v>2.1127649999999998E-2</v>
      </c>
      <c r="CT118" s="1142">
        <v>2.3440199999999998E-2</v>
      </c>
      <c r="CU118" s="1142">
        <v>2.5752749999999998E-2</v>
      </c>
      <c r="CV118" s="1099"/>
      <c r="CW118" s="1107">
        <v>20</v>
      </c>
      <c r="CX118" s="1139">
        <v>1518.1666666666665</v>
      </c>
      <c r="CY118" s="1139">
        <v>3873</v>
      </c>
      <c r="CZ118" s="1139">
        <v>6227.833333333333</v>
      </c>
      <c r="DA118" s="1139">
        <v>8582.6666666666661</v>
      </c>
      <c r="DB118" s="1139">
        <v>10937.5</v>
      </c>
      <c r="DI118" s="1107">
        <f t="shared" ref="DI118:DI126" si="90">10+DI117</f>
        <v>-10</v>
      </c>
      <c r="DJ118" s="1142">
        <v>9.5333333333333339E-2</v>
      </c>
      <c r="DK118" s="1142">
        <v>0.10575</v>
      </c>
      <c r="DL118" s="1142">
        <v>0.11616666666666667</v>
      </c>
      <c r="DM118" s="1142">
        <v>0.12658333333333333</v>
      </c>
      <c r="DN118" s="1142">
        <v>0.13700000000000001</v>
      </c>
      <c r="DO118" s="1099"/>
      <c r="DP118" s="1107">
        <v>70</v>
      </c>
      <c r="DQ118" s="1142">
        <v>1.390509999999999E-2</v>
      </c>
      <c r="DR118" s="1142">
        <v>1.5830199999999989E-2</v>
      </c>
      <c r="DS118" s="1142">
        <v>1.7755299999999988E-2</v>
      </c>
      <c r="DT118" s="1142">
        <v>1.9680399999999987E-2</v>
      </c>
      <c r="DU118" s="1142">
        <v>2.1605499999999986E-2</v>
      </c>
      <c r="DV118" s="1099"/>
      <c r="DW118" s="1107">
        <v>20</v>
      </c>
      <c r="DX118" s="1139">
        <v>970.66666666666674</v>
      </c>
      <c r="DY118" s="1139">
        <v>2463.8333333333335</v>
      </c>
      <c r="DZ118" s="1139">
        <v>3957</v>
      </c>
      <c r="EA118" s="1139">
        <v>5450.166666666667</v>
      </c>
      <c r="EB118" s="1139">
        <v>6943.3333333333339</v>
      </c>
    </row>
    <row r="119" spans="1:132" ht="12.75" x14ac:dyDescent="0.2">
      <c r="B119" s="60" t="e">
        <f t="shared" si="76"/>
        <v>#DIV/0!</v>
      </c>
      <c r="C119" s="60" t="e">
        <f t="shared" si="73"/>
        <v>#DIV/0!</v>
      </c>
      <c r="D119" s="60" t="e">
        <f t="shared" si="77"/>
        <v>#DIV/0!</v>
      </c>
      <c r="E119" s="60" t="e">
        <f t="shared" si="78"/>
        <v>#DIV/0!</v>
      </c>
      <c r="F119" s="60" t="e">
        <f t="shared" si="79"/>
        <v>#DIV/0!</v>
      </c>
      <c r="G119" s="60" t="e">
        <f t="shared" si="80"/>
        <v>#DIV/0!</v>
      </c>
      <c r="I119" s="60" t="e">
        <f t="shared" si="81"/>
        <v>#DIV/0!</v>
      </c>
      <c r="J119" s="60" t="e">
        <f t="shared" si="74"/>
        <v>#DIV/0!</v>
      </c>
      <c r="K119" s="60" t="e">
        <f t="shared" si="82"/>
        <v>#DIV/0!</v>
      </c>
      <c r="L119" s="60" t="e">
        <f t="shared" si="83"/>
        <v>#DIV/0!</v>
      </c>
      <c r="M119" s="60" t="e">
        <f t="shared" si="84"/>
        <v>#DIV/0!</v>
      </c>
      <c r="N119" s="60" t="e">
        <f t="shared" si="85"/>
        <v>#DIV/0!</v>
      </c>
      <c r="P119" s="60" t="e">
        <f t="shared" si="86"/>
        <v>#DIV/0!</v>
      </c>
      <c r="Q119" s="60" t="e">
        <f t="shared" si="75"/>
        <v>#DIV/0!</v>
      </c>
      <c r="R119" s="60" t="e">
        <f t="shared" si="87"/>
        <v>#DIV/0!</v>
      </c>
      <c r="S119" s="60" t="e">
        <f t="shared" si="87"/>
        <v>#DIV/0!</v>
      </c>
      <c r="T119" s="60" t="e">
        <f t="shared" si="87"/>
        <v>#DIV/0!</v>
      </c>
      <c r="U119" s="60" t="e">
        <f t="shared" si="87"/>
        <v>#DIV/0!</v>
      </c>
      <c r="AA119" s="1134"/>
      <c r="AB119" s="1107">
        <f t="shared" ref="AB119:AB126" si="91">10+AB118</f>
        <v>0</v>
      </c>
      <c r="AC119" s="1140">
        <v>0.17283333333333337</v>
      </c>
      <c r="AD119" s="1140">
        <v>0.19012500000000002</v>
      </c>
      <c r="AE119" s="1140">
        <v>0.20741666666666669</v>
      </c>
      <c r="AF119" s="1140">
        <v>0.22470833333333334</v>
      </c>
      <c r="AG119" s="1140">
        <v>0.24200000000000002</v>
      </c>
      <c r="AH119" s="1097"/>
      <c r="AI119" s="1107">
        <v>80</v>
      </c>
      <c r="AJ119" s="1107"/>
      <c r="AK119" s="1140">
        <v>6.0599999999999994E-2</v>
      </c>
      <c r="AL119" s="1140"/>
      <c r="AM119" s="1140">
        <v>6.6449999999999995E-2</v>
      </c>
      <c r="AN119" s="1140"/>
      <c r="AO119" s="1140">
        <v>7.2299999999999989E-2</v>
      </c>
      <c r="AP119" s="1140"/>
      <c r="AQ119" s="1140">
        <v>7.8149999999999997E-2</v>
      </c>
      <c r="AR119" s="1140"/>
      <c r="AS119" s="1140">
        <v>8.3999999999999991E-2</v>
      </c>
      <c r="AT119" s="1140"/>
      <c r="AU119" s="1097"/>
      <c r="AV119" s="1097"/>
      <c r="AW119" s="1106">
        <v>30</v>
      </c>
      <c r="AX119" s="1141">
        <v>736.66666666666674</v>
      </c>
      <c r="AY119" s="1141">
        <v>1901.9166666666667</v>
      </c>
      <c r="AZ119" s="1141">
        <v>3067.166666666667</v>
      </c>
      <c r="BA119" s="1141">
        <v>4232.416666666667</v>
      </c>
      <c r="BB119" s="1141">
        <v>5397.666666666667</v>
      </c>
      <c r="BH119" s="1134"/>
      <c r="BI119" s="1107">
        <f t="shared" si="88"/>
        <v>0</v>
      </c>
      <c r="BJ119" s="1142">
        <v>0.112</v>
      </c>
      <c r="BK119" s="1142">
        <v>0.124</v>
      </c>
      <c r="BL119" s="1142">
        <v>0.13599999999999998</v>
      </c>
      <c r="BM119" s="1142">
        <v>0.14799999999999999</v>
      </c>
      <c r="BN119" s="1142">
        <v>0.16</v>
      </c>
      <c r="BO119" s="1099"/>
      <c r="BP119" s="1107">
        <v>80</v>
      </c>
      <c r="BQ119" s="1142">
        <v>3.620000000000001E-2</v>
      </c>
      <c r="BR119" s="1142">
        <v>4.0850000000000011E-2</v>
      </c>
      <c r="BS119" s="1142">
        <v>4.5500000000000013E-2</v>
      </c>
      <c r="BT119" s="1142">
        <v>5.0150000000000014E-2</v>
      </c>
      <c r="BU119" s="1142">
        <v>5.4800000000000015E-2</v>
      </c>
      <c r="BV119" s="1099"/>
      <c r="BW119" s="1107">
        <v>30</v>
      </c>
      <c r="BX119" s="1139">
        <v>2187.333333333333</v>
      </c>
      <c r="BY119" s="1139">
        <v>5575.0833333333321</v>
      </c>
      <c r="BZ119" s="1139">
        <v>8962.8333333333321</v>
      </c>
      <c r="CA119" s="1139">
        <v>12350.583333333332</v>
      </c>
      <c r="CB119" s="1139">
        <v>15738.33333333333</v>
      </c>
      <c r="CH119" s="1134"/>
      <c r="CI119" s="1107">
        <f t="shared" si="89"/>
        <v>0</v>
      </c>
      <c r="CJ119" s="1142">
        <v>9.9083333333333329E-2</v>
      </c>
      <c r="CK119" s="1142">
        <v>0.10981250000000001</v>
      </c>
      <c r="CL119" s="1142">
        <v>0.12054166666666666</v>
      </c>
      <c r="CM119" s="1142">
        <v>0.13127083333333334</v>
      </c>
      <c r="CN119" s="1142">
        <v>0.14200000000000002</v>
      </c>
      <c r="CO119" s="1099"/>
      <c r="CP119" s="1107">
        <v>80</v>
      </c>
      <c r="CQ119" s="1142">
        <v>3.1005100000000001E-2</v>
      </c>
      <c r="CR119" s="1142">
        <v>3.50052E-2</v>
      </c>
      <c r="CS119" s="1142">
        <v>3.9005300000000007E-2</v>
      </c>
      <c r="CT119" s="1142">
        <v>4.3005399999999999E-2</v>
      </c>
      <c r="CU119" s="1142">
        <v>4.7005500000000006E-2</v>
      </c>
      <c r="CV119" s="1099"/>
      <c r="CW119" s="1107">
        <v>30</v>
      </c>
      <c r="CX119" s="1139">
        <v>1749.3333333333333</v>
      </c>
      <c r="CY119" s="1139">
        <v>4447.75</v>
      </c>
      <c r="CZ119" s="1139">
        <v>7146.1666666666661</v>
      </c>
      <c r="DA119" s="1139">
        <v>9844.5833333333321</v>
      </c>
      <c r="DB119" s="1139">
        <v>12543</v>
      </c>
      <c r="DI119" s="1107">
        <f t="shared" si="90"/>
        <v>0</v>
      </c>
      <c r="DJ119" s="1142">
        <v>8.6166666666666669E-2</v>
      </c>
      <c r="DK119" s="1142">
        <v>9.5625000000000002E-2</v>
      </c>
      <c r="DL119" s="1142">
        <v>0.10508333333333333</v>
      </c>
      <c r="DM119" s="1142">
        <v>0.11454166666666667</v>
      </c>
      <c r="DN119" s="1142">
        <v>0.124</v>
      </c>
      <c r="DO119" s="1099"/>
      <c r="DP119" s="1107">
        <v>80</v>
      </c>
      <c r="DQ119" s="1142">
        <v>2.5810199999999995E-2</v>
      </c>
      <c r="DR119" s="1142">
        <v>2.9160399999999993E-2</v>
      </c>
      <c r="DS119" s="1142">
        <v>3.2510599999999994E-2</v>
      </c>
      <c r="DT119" s="1142">
        <v>3.5860799999999991E-2</v>
      </c>
      <c r="DU119" s="1142">
        <v>3.9210999999999996E-2</v>
      </c>
      <c r="DV119" s="1099"/>
      <c r="DW119" s="1107">
        <v>30</v>
      </c>
      <c r="DX119" s="1139">
        <v>1311.3333333333335</v>
      </c>
      <c r="DY119" s="1139">
        <v>3320.416666666667</v>
      </c>
      <c r="DZ119" s="1139">
        <v>5329.5</v>
      </c>
      <c r="EA119" s="1139">
        <v>7338.5833333333339</v>
      </c>
      <c r="EB119" s="1139">
        <v>9347.6666666666679</v>
      </c>
    </row>
    <row r="120" spans="1:132" ht="12.75" x14ac:dyDescent="0.2">
      <c r="B120" s="60" t="e">
        <f t="shared" si="76"/>
        <v>#DIV/0!</v>
      </c>
      <c r="C120" s="60" t="e">
        <f t="shared" si="73"/>
        <v>#DIV/0!</v>
      </c>
      <c r="D120" s="60" t="e">
        <f t="shared" si="77"/>
        <v>#DIV/0!</v>
      </c>
      <c r="E120" s="60" t="e">
        <f t="shared" si="78"/>
        <v>#DIV/0!</v>
      </c>
      <c r="F120" s="60" t="e">
        <f t="shared" si="79"/>
        <v>#DIV/0!</v>
      </c>
      <c r="G120" s="60" t="e">
        <f t="shared" si="80"/>
        <v>#DIV/0!</v>
      </c>
      <c r="I120" s="60" t="e">
        <f t="shared" si="81"/>
        <v>#DIV/0!</v>
      </c>
      <c r="J120" s="60" t="e">
        <f t="shared" si="74"/>
        <v>#DIV/0!</v>
      </c>
      <c r="K120" s="60" t="e">
        <f t="shared" si="82"/>
        <v>#DIV/0!</v>
      </c>
      <c r="L120" s="60" t="e">
        <f t="shared" si="83"/>
        <v>#DIV/0!</v>
      </c>
      <c r="M120" s="60" t="e">
        <f t="shared" si="84"/>
        <v>#DIV/0!</v>
      </c>
      <c r="N120" s="60" t="e">
        <f t="shared" si="85"/>
        <v>#DIV/0!</v>
      </c>
      <c r="P120" s="60" t="e">
        <f t="shared" si="86"/>
        <v>#DIV/0!</v>
      </c>
      <c r="Q120" s="60" t="e">
        <f t="shared" si="75"/>
        <v>#DIV/0!</v>
      </c>
      <c r="R120" s="60" t="e">
        <f t="shared" si="87"/>
        <v>#DIV/0!</v>
      </c>
      <c r="S120" s="60" t="e">
        <f t="shared" si="87"/>
        <v>#DIV/0!</v>
      </c>
      <c r="T120" s="60" t="e">
        <f t="shared" si="87"/>
        <v>#DIV/0!</v>
      </c>
      <c r="U120" s="60" t="e">
        <f t="shared" si="87"/>
        <v>#DIV/0!</v>
      </c>
      <c r="AA120" s="1134"/>
      <c r="AB120" s="1107">
        <f t="shared" si="91"/>
        <v>10</v>
      </c>
      <c r="AC120" s="1140">
        <v>0.155</v>
      </c>
      <c r="AD120" s="1140">
        <v>0.17050000000000001</v>
      </c>
      <c r="AE120" s="1140">
        <v>0.186</v>
      </c>
      <c r="AF120" s="1140">
        <v>0.20150000000000001</v>
      </c>
      <c r="AG120" s="1140">
        <v>0.21700000000000003</v>
      </c>
      <c r="AH120" s="1097"/>
      <c r="AI120" s="1107">
        <v>90</v>
      </c>
      <c r="AJ120" s="1107"/>
      <c r="AK120" s="1140">
        <v>8.7399999999999992E-2</v>
      </c>
      <c r="AL120" s="1140"/>
      <c r="AM120" s="1140">
        <v>9.5799999999999996E-2</v>
      </c>
      <c r="AN120" s="1140"/>
      <c r="AO120" s="1140">
        <v>0.10419999999999999</v>
      </c>
      <c r="AP120" s="1140"/>
      <c r="AQ120" s="1140">
        <v>0.11259999999999999</v>
      </c>
      <c r="AR120" s="1140"/>
      <c r="AS120" s="1140">
        <v>0.121</v>
      </c>
      <c r="AT120" s="1140"/>
      <c r="AU120" s="1097"/>
      <c r="AV120" s="1097"/>
      <c r="AW120" s="1106">
        <v>40</v>
      </c>
      <c r="AX120" s="1141">
        <v>924</v>
      </c>
      <c r="AY120" s="1141">
        <v>2384.875</v>
      </c>
      <c r="AZ120" s="1141">
        <v>3845.75</v>
      </c>
      <c r="BA120" s="1141">
        <v>5306.625</v>
      </c>
      <c r="BB120" s="1141">
        <v>6767.5</v>
      </c>
      <c r="BH120" s="1134"/>
      <c r="BI120" s="1107">
        <f t="shared" si="88"/>
        <v>10</v>
      </c>
      <c r="BJ120" s="1142">
        <v>0.1</v>
      </c>
      <c r="BK120" s="1142">
        <v>0.11075</v>
      </c>
      <c r="BL120" s="1142">
        <v>0.1215</v>
      </c>
      <c r="BM120" s="1142">
        <v>0.13224999999999998</v>
      </c>
      <c r="BN120" s="1142">
        <v>0.14299999999999999</v>
      </c>
      <c r="BO120" s="1099"/>
      <c r="BP120" s="1107">
        <v>90</v>
      </c>
      <c r="BQ120" s="1142">
        <v>5.3300000000000021E-2</v>
      </c>
      <c r="BR120" s="1142">
        <v>5.9900000000000023E-2</v>
      </c>
      <c r="BS120" s="1142">
        <v>6.6500000000000031E-2</v>
      </c>
      <c r="BT120" s="1142">
        <v>7.3100000000000026E-2</v>
      </c>
      <c r="BU120" s="1142">
        <v>7.9700000000000035E-2</v>
      </c>
      <c r="BV120" s="1099"/>
      <c r="BW120" s="1107">
        <v>40</v>
      </c>
      <c r="BX120" s="1139">
        <v>2309</v>
      </c>
      <c r="BY120" s="1139">
        <v>5868</v>
      </c>
      <c r="BZ120" s="1139">
        <v>9427</v>
      </c>
      <c r="CA120" s="1139">
        <v>12986</v>
      </c>
      <c r="CB120" s="1139">
        <v>16545</v>
      </c>
      <c r="CH120" s="1134"/>
      <c r="CI120" s="1107">
        <f t="shared" si="89"/>
        <v>10</v>
      </c>
      <c r="CJ120" s="1142">
        <v>8.8500000000000009E-2</v>
      </c>
      <c r="CK120" s="1142">
        <v>9.8125000000000004E-2</v>
      </c>
      <c r="CL120" s="1142">
        <v>0.10775</v>
      </c>
      <c r="CM120" s="1142">
        <v>0.11737499999999998</v>
      </c>
      <c r="CN120" s="1142">
        <v>0.127</v>
      </c>
      <c r="CO120" s="1099"/>
      <c r="CP120" s="1107">
        <v>90</v>
      </c>
      <c r="CQ120" s="1142">
        <v>4.5507650000000011E-2</v>
      </c>
      <c r="CR120" s="1142">
        <v>5.1195300000000013E-2</v>
      </c>
      <c r="CS120" s="1142">
        <v>5.6882950000000015E-2</v>
      </c>
      <c r="CT120" s="1142">
        <v>6.2570600000000004E-2</v>
      </c>
      <c r="CU120" s="1142">
        <v>6.825825000000002E-2</v>
      </c>
      <c r="CV120" s="1099"/>
      <c r="CW120" s="1107">
        <v>40</v>
      </c>
      <c r="CX120" s="1139">
        <v>1980.5</v>
      </c>
      <c r="CY120" s="1139">
        <v>5022.5</v>
      </c>
      <c r="CZ120" s="1139">
        <v>8064.5</v>
      </c>
      <c r="DA120" s="1139">
        <v>11106.5</v>
      </c>
      <c r="DB120" s="1139">
        <v>14148.5</v>
      </c>
      <c r="DI120" s="1107">
        <f t="shared" si="90"/>
        <v>10</v>
      </c>
      <c r="DJ120" s="1142">
        <v>7.7000000000000013E-2</v>
      </c>
      <c r="DK120" s="1142">
        <v>8.5500000000000007E-2</v>
      </c>
      <c r="DL120" s="1142">
        <v>9.4E-2</v>
      </c>
      <c r="DM120" s="1142">
        <v>0.10249999999999999</v>
      </c>
      <c r="DN120" s="1142">
        <v>0.11100000000000002</v>
      </c>
      <c r="DO120" s="1099"/>
      <c r="DP120" s="1107">
        <v>90</v>
      </c>
      <c r="DQ120" s="1142">
        <v>3.7715299999999993E-2</v>
      </c>
      <c r="DR120" s="1142">
        <v>4.2490599999999996E-2</v>
      </c>
      <c r="DS120" s="1142">
        <v>4.7265899999999993E-2</v>
      </c>
      <c r="DT120" s="1142">
        <v>5.2041199999999996E-2</v>
      </c>
      <c r="DU120" s="1142">
        <v>5.6816499999999992E-2</v>
      </c>
      <c r="DV120" s="1099"/>
      <c r="DW120" s="1107">
        <v>40</v>
      </c>
      <c r="DX120" s="1139">
        <v>1652</v>
      </c>
      <c r="DY120" s="1139">
        <v>4177</v>
      </c>
      <c r="DZ120" s="1139">
        <v>6702</v>
      </c>
      <c r="EA120" s="1139">
        <v>9227</v>
      </c>
      <c r="EB120" s="1139">
        <v>11752</v>
      </c>
    </row>
    <row r="121" spans="1:132" ht="12.75" x14ac:dyDescent="0.2">
      <c r="B121" s="60" t="e">
        <f t="shared" si="76"/>
        <v>#DIV/0!</v>
      </c>
      <c r="C121" s="60" t="e">
        <f t="shared" si="73"/>
        <v>#DIV/0!</v>
      </c>
      <c r="D121" s="60" t="e">
        <f t="shared" si="77"/>
        <v>#DIV/0!</v>
      </c>
      <c r="E121" s="60" t="e">
        <f t="shared" si="78"/>
        <v>#DIV/0!</v>
      </c>
      <c r="F121" s="60" t="e">
        <f t="shared" si="79"/>
        <v>#DIV/0!</v>
      </c>
      <c r="G121" s="60" t="e">
        <f t="shared" si="80"/>
        <v>#DIV/0!</v>
      </c>
      <c r="I121" s="60" t="e">
        <f t="shared" si="81"/>
        <v>#DIV/0!</v>
      </c>
      <c r="J121" s="60" t="e">
        <f t="shared" si="74"/>
        <v>#DIV/0!</v>
      </c>
      <c r="K121" s="60" t="e">
        <f t="shared" si="82"/>
        <v>#DIV/0!</v>
      </c>
      <c r="L121" s="60" t="e">
        <f t="shared" si="83"/>
        <v>#DIV/0!</v>
      </c>
      <c r="M121" s="60" t="e">
        <f t="shared" si="84"/>
        <v>#DIV/0!</v>
      </c>
      <c r="N121" s="60" t="e">
        <f t="shared" si="85"/>
        <v>#DIV/0!</v>
      </c>
      <c r="P121" s="60" t="e">
        <f t="shared" si="86"/>
        <v>#DIV/0!</v>
      </c>
      <c r="Q121" s="60" t="e">
        <f t="shared" si="75"/>
        <v>#DIV/0!</v>
      </c>
      <c r="R121" s="60" t="e">
        <f t="shared" si="87"/>
        <v>#DIV/0!</v>
      </c>
      <c r="S121" s="60" t="e">
        <f t="shared" si="87"/>
        <v>#DIV/0!</v>
      </c>
      <c r="T121" s="60" t="e">
        <f t="shared" si="87"/>
        <v>#DIV/0!</v>
      </c>
      <c r="U121" s="60" t="e">
        <f t="shared" si="87"/>
        <v>#DIV/0!</v>
      </c>
      <c r="AA121" s="1134"/>
      <c r="AB121" s="1107">
        <f t="shared" si="91"/>
        <v>20</v>
      </c>
      <c r="AC121" s="1140">
        <v>0.13716666666666669</v>
      </c>
      <c r="AD121" s="1140">
        <v>0.15087500000000001</v>
      </c>
      <c r="AE121" s="1140">
        <v>0.16458333333333336</v>
      </c>
      <c r="AF121" s="1140">
        <v>0.17829166666666668</v>
      </c>
      <c r="AG121" s="1140">
        <v>0.192</v>
      </c>
      <c r="AH121" s="1097"/>
      <c r="AI121" s="1107">
        <v>100</v>
      </c>
      <c r="AJ121" s="1107"/>
      <c r="AK121" s="1140">
        <v>0.11419999999999998</v>
      </c>
      <c r="AL121" s="1140"/>
      <c r="AM121" s="1140">
        <v>0.12514999999999998</v>
      </c>
      <c r="AN121" s="1140"/>
      <c r="AO121" s="1140">
        <v>0.1361</v>
      </c>
      <c r="AP121" s="1140"/>
      <c r="AQ121" s="1140">
        <v>0.14704999999999999</v>
      </c>
      <c r="AR121" s="1140"/>
      <c r="AS121" s="1140">
        <v>0.15799999999999997</v>
      </c>
      <c r="AT121" s="1140"/>
      <c r="AU121" s="1097"/>
      <c r="AV121" s="1097"/>
      <c r="AW121" s="1106">
        <v>50</v>
      </c>
      <c r="AX121" s="1141">
        <v>1111.3333333333335</v>
      </c>
      <c r="AY121" s="1141">
        <v>2867.8333333333335</v>
      </c>
      <c r="AZ121" s="1141">
        <v>4624.333333333333</v>
      </c>
      <c r="BA121" s="1141">
        <v>6380.833333333333</v>
      </c>
      <c r="BB121" s="1141">
        <v>8137.333333333333</v>
      </c>
      <c r="BH121" s="1134"/>
      <c r="BI121" s="1107">
        <f t="shared" si="88"/>
        <v>20</v>
      </c>
      <c r="BJ121" s="1142">
        <v>8.8000000000000009E-2</v>
      </c>
      <c r="BK121" s="1142">
        <v>9.7500000000000003E-2</v>
      </c>
      <c r="BL121" s="1142">
        <v>0.107</v>
      </c>
      <c r="BM121" s="1142">
        <v>0.11649999999999999</v>
      </c>
      <c r="BN121" s="1142">
        <v>0.126</v>
      </c>
      <c r="BO121" s="1099"/>
      <c r="BP121" s="1107">
        <v>100</v>
      </c>
      <c r="BQ121" s="1142">
        <v>7.0400000000000018E-2</v>
      </c>
      <c r="BR121" s="1142">
        <v>7.895000000000002E-2</v>
      </c>
      <c r="BS121" s="1142">
        <v>8.7499999999999994E-2</v>
      </c>
      <c r="BT121" s="1142">
        <v>9.6050000000000024E-2</v>
      </c>
      <c r="BU121" s="1142">
        <v>0.10460000000000003</v>
      </c>
      <c r="BV121" s="1099"/>
      <c r="BW121" s="1107">
        <v>50</v>
      </c>
      <c r="BX121" s="1139">
        <v>2430.6666666666665</v>
      </c>
      <c r="BY121" s="1139">
        <v>6160.9166666666661</v>
      </c>
      <c r="BZ121" s="1139">
        <v>9891.1666666666661</v>
      </c>
      <c r="CA121" s="1139">
        <v>13621.416666666666</v>
      </c>
      <c r="CB121" s="1139">
        <v>17351.666666666668</v>
      </c>
      <c r="CH121" s="1134"/>
      <c r="CI121" s="1107">
        <f t="shared" si="89"/>
        <v>20</v>
      </c>
      <c r="CJ121" s="1142">
        <v>7.7916666666666662E-2</v>
      </c>
      <c r="CK121" s="1142">
        <v>8.64375E-2</v>
      </c>
      <c r="CL121" s="1142">
        <v>9.4958333333333339E-2</v>
      </c>
      <c r="CM121" s="1142">
        <v>0.10347916666666666</v>
      </c>
      <c r="CN121" s="1142">
        <v>0.112</v>
      </c>
      <c r="CO121" s="1099"/>
      <c r="CP121" s="1107">
        <v>100</v>
      </c>
      <c r="CQ121" s="1142">
        <v>6.00102E-2</v>
      </c>
      <c r="CR121" s="1142">
        <v>6.7385399999999998E-2</v>
      </c>
      <c r="CS121" s="1142">
        <v>7.4760599999999983E-2</v>
      </c>
      <c r="CT121" s="1142">
        <v>8.2135800000000009E-2</v>
      </c>
      <c r="CU121" s="1142">
        <v>8.9511000000000007E-2</v>
      </c>
      <c r="CV121" s="1099"/>
      <c r="CW121" s="1107">
        <v>50</v>
      </c>
      <c r="CX121" s="1139">
        <v>2211.666666666667</v>
      </c>
      <c r="CY121" s="1139">
        <v>5597.25</v>
      </c>
      <c r="CZ121" s="1139">
        <v>8982.8333333333321</v>
      </c>
      <c r="DA121" s="1139">
        <v>12368.416666666668</v>
      </c>
      <c r="DB121" s="1139">
        <v>15754</v>
      </c>
      <c r="DI121" s="1107">
        <f t="shared" si="90"/>
        <v>20</v>
      </c>
      <c r="DJ121" s="1142">
        <v>6.7833333333333329E-2</v>
      </c>
      <c r="DK121" s="1142">
        <v>7.5374999999999998E-2</v>
      </c>
      <c r="DL121" s="1142">
        <v>8.2916666666666666E-2</v>
      </c>
      <c r="DM121" s="1142">
        <v>9.0458333333333335E-2</v>
      </c>
      <c r="DN121" s="1142">
        <v>9.8000000000000004E-2</v>
      </c>
      <c r="DO121" s="1099"/>
      <c r="DP121" s="1107">
        <v>100</v>
      </c>
      <c r="DQ121" s="1142">
        <v>4.9620399999999981E-2</v>
      </c>
      <c r="DR121" s="1142">
        <v>5.5820799999999983E-2</v>
      </c>
      <c r="DS121" s="1142">
        <v>6.2021199999999985E-2</v>
      </c>
      <c r="DT121" s="1142">
        <v>6.8221599999999979E-2</v>
      </c>
      <c r="DU121" s="1142">
        <v>7.4421999999999974E-2</v>
      </c>
      <c r="DV121" s="1099"/>
      <c r="DW121" s="1107">
        <v>50</v>
      </c>
      <c r="DX121" s="1139">
        <v>1992.666666666667</v>
      </c>
      <c r="DY121" s="1139">
        <v>5033.5833333333339</v>
      </c>
      <c r="DZ121" s="1139">
        <v>8074.5</v>
      </c>
      <c r="EA121" s="1139">
        <v>11115.416666666668</v>
      </c>
      <c r="EB121" s="1139">
        <v>14156.333333333334</v>
      </c>
    </row>
    <row r="122" spans="1:132" ht="12.75" x14ac:dyDescent="0.2">
      <c r="B122" s="60" t="e">
        <f t="shared" si="76"/>
        <v>#DIV/0!</v>
      </c>
      <c r="C122" s="60" t="e">
        <f t="shared" si="73"/>
        <v>#DIV/0!</v>
      </c>
      <c r="D122" s="60" t="e">
        <f t="shared" si="77"/>
        <v>#DIV/0!</v>
      </c>
      <c r="E122" s="60" t="e">
        <f t="shared" si="78"/>
        <v>#DIV/0!</v>
      </c>
      <c r="F122" s="60" t="e">
        <f t="shared" si="79"/>
        <v>#DIV/0!</v>
      </c>
      <c r="G122" s="60" t="e">
        <f t="shared" si="80"/>
        <v>#DIV/0!</v>
      </c>
      <c r="I122" s="60" t="e">
        <f t="shared" si="81"/>
        <v>#DIV/0!</v>
      </c>
      <c r="J122" s="60" t="e">
        <f t="shared" si="74"/>
        <v>#DIV/0!</v>
      </c>
      <c r="K122" s="60" t="e">
        <f t="shared" si="82"/>
        <v>#DIV/0!</v>
      </c>
      <c r="L122" s="60" t="e">
        <f t="shared" si="83"/>
        <v>#DIV/0!</v>
      </c>
      <c r="M122" s="60" t="e">
        <f t="shared" si="84"/>
        <v>#DIV/0!</v>
      </c>
      <c r="N122" s="60" t="e">
        <f t="shared" si="85"/>
        <v>#DIV/0!</v>
      </c>
      <c r="P122" s="60" t="e">
        <f t="shared" si="86"/>
        <v>#DIV/0!</v>
      </c>
      <c r="Q122" s="60" t="e">
        <f t="shared" si="75"/>
        <v>#DIV/0!</v>
      </c>
      <c r="R122" s="60" t="e">
        <f t="shared" si="87"/>
        <v>#DIV/0!</v>
      </c>
      <c r="S122" s="60" t="e">
        <f t="shared" si="87"/>
        <v>#DIV/0!</v>
      </c>
      <c r="T122" s="60" t="e">
        <f t="shared" si="87"/>
        <v>#DIV/0!</v>
      </c>
      <c r="U122" s="60" t="e">
        <f t="shared" si="87"/>
        <v>#DIV/0!</v>
      </c>
      <c r="AA122" s="1134"/>
      <c r="AB122" s="1107">
        <f t="shared" si="91"/>
        <v>30</v>
      </c>
      <c r="AC122" s="1140">
        <v>0.11933333333333335</v>
      </c>
      <c r="AD122" s="1140">
        <v>0.13125000000000001</v>
      </c>
      <c r="AE122" s="1140">
        <v>0.14316666666666669</v>
      </c>
      <c r="AF122" s="1140">
        <v>0.15508333333333335</v>
      </c>
      <c r="AG122" s="1140">
        <v>0.16700000000000001</v>
      </c>
      <c r="AH122" s="1097"/>
      <c r="AI122" s="1107">
        <v>110</v>
      </c>
      <c r="AJ122" s="1107"/>
      <c r="AK122" s="1140">
        <v>0.14099999999999996</v>
      </c>
      <c r="AL122" s="1140"/>
      <c r="AM122" s="1140">
        <v>0.15449999999999997</v>
      </c>
      <c r="AN122" s="1140"/>
      <c r="AO122" s="1140">
        <v>0.16799999999999998</v>
      </c>
      <c r="AP122" s="1140"/>
      <c r="AQ122" s="1140">
        <v>0.18149999999999997</v>
      </c>
      <c r="AR122" s="1140"/>
      <c r="AS122" s="1140">
        <v>0.19500000000000001</v>
      </c>
      <c r="AT122" s="1140"/>
      <c r="AU122" s="1097"/>
      <c r="AV122" s="1097"/>
      <c r="AW122" s="1106">
        <v>60</v>
      </c>
      <c r="AX122" s="1141">
        <v>1298.6666666666667</v>
      </c>
      <c r="AY122" s="1141">
        <v>3350.791666666667</v>
      </c>
      <c r="AZ122" s="1141">
        <v>5402.916666666667</v>
      </c>
      <c r="BA122" s="1141">
        <v>7455.041666666667</v>
      </c>
      <c r="BB122" s="1141">
        <v>9507.1666666666661</v>
      </c>
      <c r="BH122" s="1134"/>
      <c r="BI122" s="1107">
        <f t="shared" si="88"/>
        <v>30</v>
      </c>
      <c r="BJ122" s="1142">
        <v>7.5999999999999998E-2</v>
      </c>
      <c r="BK122" s="1142">
        <v>8.4249999999999992E-2</v>
      </c>
      <c r="BL122" s="1142">
        <v>9.2499999999999999E-2</v>
      </c>
      <c r="BM122" s="1142">
        <v>0.10074999999999999</v>
      </c>
      <c r="BN122" s="1142">
        <v>0.10899999999999999</v>
      </c>
      <c r="BO122" s="1099"/>
      <c r="BP122" s="1107">
        <v>110</v>
      </c>
      <c r="BQ122" s="1142">
        <v>8.7499999999999994E-2</v>
      </c>
      <c r="BR122" s="1142">
        <v>9.8000000000000018E-2</v>
      </c>
      <c r="BS122" s="1142">
        <v>0.10850000000000001</v>
      </c>
      <c r="BT122" s="1142">
        <v>0.11900000000000002</v>
      </c>
      <c r="BU122" s="1142">
        <v>0.1295</v>
      </c>
      <c r="BV122" s="1099"/>
      <c r="BW122" s="1107">
        <v>60</v>
      </c>
      <c r="BX122" s="1139">
        <v>2552.333333333333</v>
      </c>
      <c r="BY122" s="1139">
        <v>6453.833333333333</v>
      </c>
      <c r="BZ122" s="1139">
        <v>10355.333333333334</v>
      </c>
      <c r="CA122" s="1139">
        <v>14256.833333333334</v>
      </c>
      <c r="CB122" s="1139">
        <v>18158.333333333332</v>
      </c>
      <c r="CH122" s="1134"/>
      <c r="CI122" s="1107">
        <f t="shared" si="89"/>
        <v>30</v>
      </c>
      <c r="CJ122" s="1142">
        <v>6.7333333333333328E-2</v>
      </c>
      <c r="CK122" s="1142">
        <v>7.4749999999999997E-2</v>
      </c>
      <c r="CL122" s="1142">
        <v>8.2166666666666666E-2</v>
      </c>
      <c r="CM122" s="1142">
        <v>8.958333333333332E-2</v>
      </c>
      <c r="CN122" s="1142">
        <v>9.7000000000000003E-2</v>
      </c>
      <c r="CO122" s="1099"/>
      <c r="CP122" s="1107">
        <v>110</v>
      </c>
      <c r="CQ122" s="1142">
        <v>7.4512749999999989E-2</v>
      </c>
      <c r="CR122" s="1142">
        <v>8.3575499999999997E-2</v>
      </c>
      <c r="CS122" s="1142">
        <v>9.2638250000000005E-2</v>
      </c>
      <c r="CT122" s="1142">
        <v>0.101701</v>
      </c>
      <c r="CU122" s="1142">
        <v>0.11076374999999999</v>
      </c>
      <c r="CV122" s="1099"/>
      <c r="CW122" s="1107">
        <v>60</v>
      </c>
      <c r="CX122" s="1139">
        <v>2442.833333333333</v>
      </c>
      <c r="CY122" s="1139">
        <v>6172</v>
      </c>
      <c r="CZ122" s="1139">
        <v>9901.1666666666679</v>
      </c>
      <c r="DA122" s="1139">
        <v>13630.333333333334</v>
      </c>
      <c r="DB122" s="1139">
        <v>17359.5</v>
      </c>
      <c r="DI122" s="1107">
        <f t="shared" si="90"/>
        <v>30</v>
      </c>
      <c r="DJ122" s="1142">
        <v>5.8666666666666659E-2</v>
      </c>
      <c r="DK122" s="1142">
        <v>6.5250000000000002E-2</v>
      </c>
      <c r="DL122" s="1142">
        <v>7.1833333333333332E-2</v>
      </c>
      <c r="DM122" s="1142">
        <v>7.8416666666666662E-2</v>
      </c>
      <c r="DN122" s="1142">
        <v>8.5000000000000006E-2</v>
      </c>
      <c r="DO122" s="1099"/>
      <c r="DP122" s="1107">
        <v>110</v>
      </c>
      <c r="DQ122" s="1142">
        <v>6.152549999999999E-2</v>
      </c>
      <c r="DR122" s="1142">
        <v>6.915099999999999E-2</v>
      </c>
      <c r="DS122" s="1142">
        <v>7.6776499999999984E-2</v>
      </c>
      <c r="DT122" s="1142">
        <v>8.4401999999999977E-2</v>
      </c>
      <c r="DU122" s="1142">
        <v>9.2027499999999984E-2</v>
      </c>
      <c r="DV122" s="1099"/>
      <c r="DW122" s="1107">
        <v>60</v>
      </c>
      <c r="DX122" s="1139">
        <v>2333.3333333333335</v>
      </c>
      <c r="DY122" s="1139">
        <v>5890.166666666667</v>
      </c>
      <c r="DZ122" s="1139">
        <v>9447</v>
      </c>
      <c r="EA122" s="1139">
        <v>13003.833333333334</v>
      </c>
      <c r="EB122" s="1139">
        <v>16560.666666666668</v>
      </c>
    </row>
    <row r="123" spans="1:132" ht="12.75" x14ac:dyDescent="0.2">
      <c r="B123" s="60" t="e">
        <f t="shared" si="76"/>
        <v>#DIV/0!</v>
      </c>
      <c r="C123" s="60" t="e">
        <f t="shared" si="73"/>
        <v>#DIV/0!</v>
      </c>
      <c r="D123" s="60" t="e">
        <f t="shared" si="77"/>
        <v>#DIV/0!</v>
      </c>
      <c r="E123" s="60" t="e">
        <f t="shared" si="78"/>
        <v>#DIV/0!</v>
      </c>
      <c r="F123" s="60" t="e">
        <f t="shared" si="79"/>
        <v>#DIV/0!</v>
      </c>
      <c r="G123" s="60" t="e">
        <f t="shared" si="80"/>
        <v>#DIV/0!</v>
      </c>
      <c r="I123" s="60" t="e">
        <f t="shared" si="81"/>
        <v>#DIV/0!</v>
      </c>
      <c r="J123" s="60" t="e">
        <f t="shared" si="74"/>
        <v>#DIV/0!</v>
      </c>
      <c r="K123" s="60" t="e">
        <f t="shared" si="82"/>
        <v>#DIV/0!</v>
      </c>
      <c r="L123" s="60" t="e">
        <f t="shared" si="83"/>
        <v>#DIV/0!</v>
      </c>
      <c r="M123" s="60" t="e">
        <f t="shared" si="84"/>
        <v>#DIV/0!</v>
      </c>
      <c r="N123" s="60" t="e">
        <f t="shared" si="85"/>
        <v>#DIV/0!</v>
      </c>
      <c r="P123" s="60" t="e">
        <f t="shared" si="86"/>
        <v>#DIV/0!</v>
      </c>
      <c r="Q123" s="60" t="e">
        <f t="shared" si="75"/>
        <v>#DIV/0!</v>
      </c>
      <c r="R123" s="60" t="e">
        <f t="shared" si="87"/>
        <v>#DIV/0!</v>
      </c>
      <c r="S123" s="60" t="e">
        <f t="shared" si="87"/>
        <v>#DIV/0!</v>
      </c>
      <c r="T123" s="60" t="e">
        <f t="shared" si="87"/>
        <v>#DIV/0!</v>
      </c>
      <c r="U123" s="60" t="e">
        <f t="shared" si="87"/>
        <v>#DIV/0!</v>
      </c>
      <c r="AA123" s="1134"/>
      <c r="AB123" s="1107">
        <f t="shared" si="91"/>
        <v>40</v>
      </c>
      <c r="AC123" s="1140">
        <v>0.10150000000000001</v>
      </c>
      <c r="AD123" s="1140">
        <v>0.11162500000000002</v>
      </c>
      <c r="AE123" s="1140">
        <v>0.12175000000000001</v>
      </c>
      <c r="AF123" s="1140">
        <v>0.13187499999999999</v>
      </c>
      <c r="AG123" s="1140">
        <v>0.14200000000000002</v>
      </c>
      <c r="AH123" s="1097"/>
      <c r="AI123" s="1107">
        <v>120</v>
      </c>
      <c r="AJ123" s="1107"/>
      <c r="AK123" s="1140">
        <v>0.16780000000000003</v>
      </c>
      <c r="AL123" s="1140"/>
      <c r="AM123" s="1140">
        <v>0.18385000000000001</v>
      </c>
      <c r="AN123" s="1140"/>
      <c r="AO123" s="1140">
        <v>0.19990000000000002</v>
      </c>
      <c r="AP123" s="1140"/>
      <c r="AQ123" s="1140">
        <v>0.21595000000000003</v>
      </c>
      <c r="AR123" s="1140"/>
      <c r="AS123" s="1140">
        <v>0.23200000000000001</v>
      </c>
      <c r="AT123" s="1140"/>
      <c r="AU123" s="1097"/>
      <c r="AV123" s="1097"/>
      <c r="AW123" s="1106">
        <v>70</v>
      </c>
      <c r="AX123" s="1141">
        <v>1486</v>
      </c>
      <c r="AY123" s="1141">
        <v>3833.75</v>
      </c>
      <c r="AZ123" s="1141">
        <v>6181.5</v>
      </c>
      <c r="BA123" s="1141">
        <v>8529.25</v>
      </c>
      <c r="BB123" s="1141">
        <v>10877</v>
      </c>
      <c r="BH123" s="1134"/>
      <c r="BI123" s="1107">
        <f t="shared" si="88"/>
        <v>40</v>
      </c>
      <c r="BJ123" s="1142">
        <v>6.4000000000000001E-2</v>
      </c>
      <c r="BK123" s="1142">
        <v>7.1000000000000008E-2</v>
      </c>
      <c r="BL123" s="1142">
        <v>7.8E-2</v>
      </c>
      <c r="BM123" s="1142">
        <v>8.5000000000000006E-2</v>
      </c>
      <c r="BN123" s="1142">
        <v>9.1999999999999998E-2</v>
      </c>
      <c r="BO123" s="1099"/>
      <c r="BP123" s="1107">
        <v>120</v>
      </c>
      <c r="BQ123" s="1142">
        <v>0.10460000000000001</v>
      </c>
      <c r="BR123" s="1142">
        <v>0.11705000000000002</v>
      </c>
      <c r="BS123" s="1142">
        <v>0.1295</v>
      </c>
      <c r="BT123" s="1142">
        <v>0.14195000000000002</v>
      </c>
      <c r="BU123" s="1142">
        <v>0.15440000000000004</v>
      </c>
      <c r="BV123" s="1099"/>
      <c r="BW123" s="1107">
        <v>70</v>
      </c>
      <c r="BX123" s="1139">
        <v>2674</v>
      </c>
      <c r="BY123" s="1139">
        <v>6746.75</v>
      </c>
      <c r="BZ123" s="1139">
        <v>10819.5</v>
      </c>
      <c r="CA123" s="1139">
        <v>14892.25</v>
      </c>
      <c r="CB123" s="1139">
        <v>18965</v>
      </c>
      <c r="CH123" s="1134"/>
      <c r="CI123" s="1107">
        <f t="shared" si="89"/>
        <v>40</v>
      </c>
      <c r="CJ123" s="1142">
        <v>5.6749999999999995E-2</v>
      </c>
      <c r="CK123" s="1142">
        <v>6.3062499999999994E-2</v>
      </c>
      <c r="CL123" s="1142">
        <v>6.9375000000000006E-2</v>
      </c>
      <c r="CM123" s="1142">
        <v>7.5687499999999991E-2</v>
      </c>
      <c r="CN123" s="1142">
        <v>8.199999999999999E-2</v>
      </c>
      <c r="CO123" s="1099"/>
      <c r="CP123" s="1107">
        <v>120</v>
      </c>
      <c r="CQ123" s="1142">
        <v>8.9015299999999992E-2</v>
      </c>
      <c r="CR123" s="1142">
        <v>9.976560000000001E-2</v>
      </c>
      <c r="CS123" s="1142">
        <v>0.1105159</v>
      </c>
      <c r="CT123" s="1142">
        <v>0.1212662</v>
      </c>
      <c r="CU123" s="1142">
        <v>0.13201650000000001</v>
      </c>
      <c r="CV123" s="1099"/>
      <c r="CW123" s="1107">
        <v>70</v>
      </c>
      <c r="CX123" s="1139">
        <v>2674</v>
      </c>
      <c r="CY123" s="1139">
        <v>6746.75</v>
      </c>
      <c r="CZ123" s="1139">
        <v>10819.5</v>
      </c>
      <c r="DA123" s="1139">
        <v>14892.25</v>
      </c>
      <c r="DB123" s="1139">
        <v>18965</v>
      </c>
      <c r="DI123" s="1107">
        <f t="shared" si="90"/>
        <v>40</v>
      </c>
      <c r="DJ123" s="1142">
        <v>4.9499999999999995E-2</v>
      </c>
      <c r="DK123" s="1142">
        <v>5.5124999999999993E-2</v>
      </c>
      <c r="DL123" s="1142">
        <v>6.0749999999999998E-2</v>
      </c>
      <c r="DM123" s="1142">
        <v>6.637499999999999E-2</v>
      </c>
      <c r="DN123" s="1142">
        <v>7.1999999999999995E-2</v>
      </c>
      <c r="DO123" s="1099"/>
      <c r="DP123" s="1107">
        <v>120</v>
      </c>
      <c r="DQ123" s="1142">
        <v>7.3430599999999985E-2</v>
      </c>
      <c r="DR123" s="1142">
        <v>8.2481199999999991E-2</v>
      </c>
      <c r="DS123" s="1142">
        <v>9.1531799999999996E-2</v>
      </c>
      <c r="DT123" s="1142">
        <v>0.10058239999999999</v>
      </c>
      <c r="DU123" s="1142">
        <v>0.10963299999999998</v>
      </c>
      <c r="DV123" s="1099"/>
      <c r="DW123" s="1107">
        <v>70</v>
      </c>
      <c r="DX123" s="1139">
        <v>2674</v>
      </c>
      <c r="DY123" s="1139">
        <v>6746.75</v>
      </c>
      <c r="DZ123" s="1139">
        <v>10819.5</v>
      </c>
      <c r="EA123" s="1139">
        <v>14892.25</v>
      </c>
      <c r="EB123" s="1139">
        <v>18965</v>
      </c>
    </row>
    <row r="124" spans="1:132" ht="12.75" x14ac:dyDescent="0.2">
      <c r="B124" s="60" t="e">
        <f t="shared" si="76"/>
        <v>#DIV/0!</v>
      </c>
      <c r="C124" s="60" t="e">
        <f t="shared" si="73"/>
        <v>#DIV/0!</v>
      </c>
      <c r="D124" s="60" t="e">
        <f t="shared" si="77"/>
        <v>#DIV/0!</v>
      </c>
      <c r="E124" s="60" t="e">
        <f t="shared" si="78"/>
        <v>#DIV/0!</v>
      </c>
      <c r="F124" s="60" t="e">
        <f t="shared" si="79"/>
        <v>#DIV/0!</v>
      </c>
      <c r="G124" s="60" t="e">
        <f t="shared" si="80"/>
        <v>#DIV/0!</v>
      </c>
      <c r="I124" s="60" t="e">
        <f t="shared" si="81"/>
        <v>#DIV/0!</v>
      </c>
      <c r="J124" s="60" t="e">
        <f t="shared" si="74"/>
        <v>#DIV/0!</v>
      </c>
      <c r="K124" s="60" t="e">
        <f t="shared" si="82"/>
        <v>#DIV/0!</v>
      </c>
      <c r="L124" s="60" t="e">
        <f t="shared" si="83"/>
        <v>#DIV/0!</v>
      </c>
      <c r="M124" s="60" t="e">
        <f t="shared" si="84"/>
        <v>#DIV/0!</v>
      </c>
      <c r="N124" s="60" t="e">
        <f t="shared" si="85"/>
        <v>#DIV/0!</v>
      </c>
      <c r="AA124" s="1134"/>
      <c r="AB124" s="1107">
        <f t="shared" si="91"/>
        <v>50</v>
      </c>
      <c r="AC124" s="1140">
        <v>8.3666666666666667E-2</v>
      </c>
      <c r="AD124" s="1140">
        <v>9.1999999999999998E-2</v>
      </c>
      <c r="AE124" s="1140">
        <v>0.10033333333333333</v>
      </c>
      <c r="AF124" s="1140">
        <v>0.10866666666666666</v>
      </c>
      <c r="AG124" s="1140">
        <v>0.11700000000000001</v>
      </c>
      <c r="AH124" s="1097"/>
      <c r="AI124" s="1107">
        <v>130</v>
      </c>
      <c r="AJ124" s="1107"/>
      <c r="AK124" s="1140">
        <v>0.19460000000000002</v>
      </c>
      <c r="AL124" s="1140"/>
      <c r="AM124" s="1140">
        <v>0.2132</v>
      </c>
      <c r="AN124" s="1140"/>
      <c r="AO124" s="1140">
        <v>0.23180000000000001</v>
      </c>
      <c r="AP124" s="1140"/>
      <c r="AQ124" s="1140">
        <v>0.25040000000000001</v>
      </c>
      <c r="AR124" s="1140"/>
      <c r="AS124" s="1140">
        <v>0.26900000000000002</v>
      </c>
      <c r="AT124" s="1140"/>
      <c r="AU124" s="1097"/>
      <c r="AV124" s="1097"/>
      <c r="AW124" s="1099" t="s">
        <v>3284</v>
      </c>
      <c r="AX124" s="1143"/>
      <c r="AY124" s="1143"/>
      <c r="AZ124" s="1143"/>
      <c r="BA124" s="1143"/>
      <c r="BB124" s="1143"/>
      <c r="BH124" s="1134"/>
      <c r="BI124" s="1107">
        <f t="shared" si="88"/>
        <v>50</v>
      </c>
      <c r="BJ124" s="1142">
        <v>5.2000000000000005E-2</v>
      </c>
      <c r="BK124" s="1142">
        <v>5.7750000000000003E-2</v>
      </c>
      <c r="BL124" s="1142">
        <v>6.3500000000000001E-2</v>
      </c>
      <c r="BM124" s="1142">
        <v>6.9250000000000006E-2</v>
      </c>
      <c r="BN124" s="1142">
        <v>7.4999999999999997E-2</v>
      </c>
      <c r="BO124" s="1099"/>
      <c r="BP124" s="1107">
        <v>130</v>
      </c>
      <c r="BQ124" s="1142">
        <v>0.12170000000000002</v>
      </c>
      <c r="BR124" s="1142">
        <v>0.13610000000000003</v>
      </c>
      <c r="BS124" s="1142">
        <v>0.15050000000000002</v>
      </c>
      <c r="BT124" s="1142">
        <v>0.16490000000000002</v>
      </c>
      <c r="BU124" s="1142">
        <v>0.17930000000000001</v>
      </c>
      <c r="BV124" s="1099"/>
      <c r="BW124" s="1099" t="s">
        <v>1258</v>
      </c>
      <c r="BX124" s="1143"/>
      <c r="BY124" s="1143"/>
      <c r="BZ124" s="1143"/>
      <c r="CA124" s="1143"/>
      <c r="CB124" s="1143"/>
      <c r="CH124" s="1134"/>
      <c r="CI124" s="1107">
        <f t="shared" si="89"/>
        <v>50</v>
      </c>
      <c r="CJ124" s="1142">
        <v>4.6166666666666668E-2</v>
      </c>
      <c r="CK124" s="1142">
        <v>5.1375000000000004E-2</v>
      </c>
      <c r="CL124" s="1142">
        <v>5.6583333333333333E-2</v>
      </c>
      <c r="CM124" s="1142">
        <v>6.1791666666666668E-2</v>
      </c>
      <c r="CN124" s="1142">
        <v>6.7000000000000004E-2</v>
      </c>
      <c r="CO124" s="1099"/>
      <c r="CP124" s="1107">
        <v>130</v>
      </c>
      <c r="CQ124" s="1142">
        <v>0.10351784999999999</v>
      </c>
      <c r="CR124" s="1142">
        <v>0.11595569999999999</v>
      </c>
      <c r="CS124" s="1142">
        <v>0.12839355</v>
      </c>
      <c r="CT124" s="1142">
        <v>0.1408314</v>
      </c>
      <c r="CU124" s="1142">
        <v>0.15326925</v>
      </c>
      <c r="CV124" s="1099"/>
      <c r="CW124" s="1099" t="s">
        <v>224</v>
      </c>
      <c r="CX124" s="1143"/>
      <c r="CY124" s="1143"/>
      <c r="CZ124" s="1143"/>
      <c r="DA124" s="1143"/>
      <c r="DB124" s="1143"/>
      <c r="DI124" s="1107">
        <f t="shared" si="90"/>
        <v>50</v>
      </c>
      <c r="DJ124" s="1142">
        <v>4.0333333333333332E-2</v>
      </c>
      <c r="DK124" s="1142">
        <v>4.4999999999999998E-2</v>
      </c>
      <c r="DL124" s="1142">
        <v>4.9666666666666665E-2</v>
      </c>
      <c r="DM124" s="1142">
        <v>5.4333333333333331E-2</v>
      </c>
      <c r="DN124" s="1142">
        <v>5.8999999999999997E-2</v>
      </c>
      <c r="DO124" s="1099"/>
      <c r="DP124" s="1107">
        <v>130</v>
      </c>
      <c r="DQ124" s="1142">
        <v>8.5335699999999987E-2</v>
      </c>
      <c r="DR124" s="1142">
        <v>9.5811399999999977E-2</v>
      </c>
      <c r="DS124" s="1142">
        <v>0.10628709999999997</v>
      </c>
      <c r="DT124" s="1142">
        <v>0.11676279999999997</v>
      </c>
      <c r="DU124" s="1142">
        <v>0.12723849999999998</v>
      </c>
      <c r="DV124" s="1099"/>
      <c r="DW124" s="1099" t="s">
        <v>1263</v>
      </c>
      <c r="DX124" s="1143"/>
      <c r="DY124" s="1143"/>
      <c r="DZ124" s="1143"/>
      <c r="EA124" s="1143"/>
      <c r="EB124" s="1143"/>
    </row>
    <row r="125" spans="1:132" ht="12.75" x14ac:dyDescent="0.2">
      <c r="B125" s="60" t="e">
        <f t="shared" si="76"/>
        <v>#DIV/0!</v>
      </c>
      <c r="C125" s="60" t="e">
        <f t="shared" si="73"/>
        <v>#DIV/0!</v>
      </c>
      <c r="D125" s="60" t="e">
        <f t="shared" si="77"/>
        <v>#DIV/0!</v>
      </c>
      <c r="E125" s="60" t="e">
        <f t="shared" si="78"/>
        <v>#DIV/0!</v>
      </c>
      <c r="F125" s="60" t="e">
        <f t="shared" si="79"/>
        <v>#DIV/0!</v>
      </c>
      <c r="G125" s="60" t="e">
        <f t="shared" si="80"/>
        <v>#DIV/0!</v>
      </c>
      <c r="I125" s="60" t="e">
        <f t="shared" si="81"/>
        <v>#DIV/0!</v>
      </c>
      <c r="J125" s="60" t="e">
        <f t="shared" si="74"/>
        <v>#DIV/0!</v>
      </c>
      <c r="K125" s="60" t="e">
        <f t="shared" si="82"/>
        <v>#DIV/0!</v>
      </c>
      <c r="L125" s="60" t="e">
        <f t="shared" si="83"/>
        <v>#DIV/0!</v>
      </c>
      <c r="M125" s="60" t="e">
        <f t="shared" si="84"/>
        <v>#DIV/0!</v>
      </c>
      <c r="N125" s="60" t="e">
        <f t="shared" si="85"/>
        <v>#DIV/0!</v>
      </c>
      <c r="AA125" s="1134"/>
      <c r="AB125" s="1107">
        <f t="shared" si="91"/>
        <v>60</v>
      </c>
      <c r="AC125" s="1140">
        <v>6.5833333333333341E-2</v>
      </c>
      <c r="AD125" s="1140">
        <v>7.2375000000000009E-2</v>
      </c>
      <c r="AE125" s="1140">
        <v>7.8916666666666677E-2</v>
      </c>
      <c r="AF125" s="1140">
        <v>8.5458333333333344E-2</v>
      </c>
      <c r="AG125" s="1140">
        <v>9.2000000000000012E-2</v>
      </c>
      <c r="AH125" s="1097"/>
      <c r="AI125" s="1107">
        <v>140</v>
      </c>
      <c r="AJ125" s="1107"/>
      <c r="AK125" s="1140">
        <v>0.22140000000000001</v>
      </c>
      <c r="AL125" s="1140"/>
      <c r="AM125" s="1140">
        <v>0.24255000000000002</v>
      </c>
      <c r="AN125" s="1140"/>
      <c r="AO125" s="1140">
        <v>0.26370000000000005</v>
      </c>
      <c r="AP125" s="1140"/>
      <c r="AQ125" s="1140">
        <v>0.28485000000000005</v>
      </c>
      <c r="AR125" s="1140"/>
      <c r="AS125" s="1140">
        <v>0.30600000000000005</v>
      </c>
      <c r="AT125" s="1140"/>
      <c r="AU125" s="1097"/>
      <c r="AV125" s="1097"/>
      <c r="AW125" s="1097"/>
      <c r="AX125" s="1097"/>
      <c r="AY125" s="1097"/>
      <c r="AZ125" s="1097"/>
      <c r="BA125" s="1097"/>
      <c r="BB125" s="1097"/>
      <c r="BH125" s="1134"/>
      <c r="BI125" s="1107">
        <f t="shared" si="88"/>
        <v>60</v>
      </c>
      <c r="BJ125" s="1142">
        <v>0.04</v>
      </c>
      <c r="BK125" s="1142">
        <v>4.4500000000000005E-2</v>
      </c>
      <c r="BL125" s="1142">
        <v>4.9000000000000002E-2</v>
      </c>
      <c r="BM125" s="1142">
        <v>5.3500000000000006E-2</v>
      </c>
      <c r="BN125" s="1142">
        <v>5.8000000000000003E-2</v>
      </c>
      <c r="BO125" s="1099"/>
      <c r="BP125" s="1107">
        <v>140</v>
      </c>
      <c r="BQ125" s="1142">
        <v>0.13880000000000001</v>
      </c>
      <c r="BR125" s="1142">
        <v>0.15515000000000001</v>
      </c>
      <c r="BS125" s="1142">
        <v>0.17150000000000001</v>
      </c>
      <c r="BT125" s="1142">
        <v>0.18785000000000002</v>
      </c>
      <c r="BU125" s="1142">
        <v>0.20419999999999999</v>
      </c>
      <c r="BV125" s="1099"/>
      <c r="BW125" s="1099"/>
      <c r="BX125" s="1099"/>
      <c r="BY125" s="1099"/>
      <c r="BZ125" s="1099"/>
      <c r="CA125" s="1099"/>
      <c r="CB125" s="1099"/>
      <c r="CH125" s="1134"/>
      <c r="CI125" s="1107">
        <f t="shared" si="89"/>
        <v>60</v>
      </c>
      <c r="CJ125" s="1142">
        <v>3.5583333333333328E-2</v>
      </c>
      <c r="CK125" s="1142">
        <v>3.9687500000000001E-2</v>
      </c>
      <c r="CL125" s="1142">
        <v>4.3791666666666666E-2</v>
      </c>
      <c r="CM125" s="1142">
        <v>4.7895833333333332E-2</v>
      </c>
      <c r="CN125" s="1142">
        <v>5.2000000000000005E-2</v>
      </c>
      <c r="CO125" s="1099"/>
      <c r="CP125" s="1107">
        <v>140</v>
      </c>
      <c r="CQ125" s="1142">
        <v>0.1180204</v>
      </c>
      <c r="CR125" s="1142">
        <v>0.13214580000000001</v>
      </c>
      <c r="CS125" s="1142">
        <v>0.14627119999999999</v>
      </c>
      <c r="CT125" s="1142">
        <v>0.1603966</v>
      </c>
      <c r="CU125" s="1142">
        <v>0.17452199999999998</v>
      </c>
      <c r="CV125" s="1099"/>
      <c r="CW125" s="1099"/>
      <c r="CX125" s="1099"/>
      <c r="CY125" s="1099"/>
      <c r="CZ125" s="1099"/>
      <c r="DA125" s="1099"/>
      <c r="DB125" s="1099"/>
      <c r="DI125" s="1107">
        <f t="shared" si="90"/>
        <v>60</v>
      </c>
      <c r="DJ125" s="1142">
        <v>3.1166666666666662E-2</v>
      </c>
      <c r="DK125" s="1142">
        <v>3.4874999999999996E-2</v>
      </c>
      <c r="DL125" s="1142">
        <v>3.8583333333333331E-2</v>
      </c>
      <c r="DM125" s="1142">
        <v>4.2291666666666665E-2</v>
      </c>
      <c r="DN125" s="1142">
        <v>4.5999999999999999E-2</v>
      </c>
      <c r="DO125" s="1099"/>
      <c r="DP125" s="1107">
        <v>140</v>
      </c>
      <c r="DQ125" s="1142">
        <v>9.7240800000000002E-2</v>
      </c>
      <c r="DR125" s="1142">
        <v>0.10914159999999999</v>
      </c>
      <c r="DS125" s="1142">
        <v>0.12104239999999999</v>
      </c>
      <c r="DT125" s="1142">
        <v>0.13294319999999998</v>
      </c>
      <c r="DU125" s="1142">
        <v>0.14484399999999997</v>
      </c>
      <c r="DV125" s="1099"/>
      <c r="DW125" s="1099"/>
      <c r="DX125" s="1099"/>
      <c r="DY125" s="1099"/>
      <c r="DZ125" s="1099"/>
      <c r="EA125" s="1099"/>
      <c r="EB125" s="1099"/>
    </row>
    <row r="126" spans="1:132" ht="12.75" x14ac:dyDescent="0.2">
      <c r="B126" s="60" t="e">
        <f t="shared" si="76"/>
        <v>#DIV/0!</v>
      </c>
      <c r="C126" s="60" t="e">
        <f t="shared" si="73"/>
        <v>#DIV/0!</v>
      </c>
      <c r="D126" s="60" t="e">
        <f t="shared" si="77"/>
        <v>#DIV/0!</v>
      </c>
      <c r="E126" s="60" t="e">
        <f t="shared" si="78"/>
        <v>#DIV/0!</v>
      </c>
      <c r="F126" s="60" t="e">
        <f t="shared" si="79"/>
        <v>#DIV/0!</v>
      </c>
      <c r="G126" s="60" t="e">
        <f t="shared" si="80"/>
        <v>#DIV/0!</v>
      </c>
      <c r="I126" s="60" t="e">
        <f t="shared" si="81"/>
        <v>#DIV/0!</v>
      </c>
      <c r="J126" s="60" t="e">
        <f t="shared" si="74"/>
        <v>#DIV/0!</v>
      </c>
      <c r="K126" s="60" t="e">
        <f t="shared" si="82"/>
        <v>#DIV/0!</v>
      </c>
      <c r="L126" s="60" t="e">
        <f t="shared" si="83"/>
        <v>#DIV/0!</v>
      </c>
      <c r="M126" s="60" t="e">
        <f t="shared" si="84"/>
        <v>#DIV/0!</v>
      </c>
      <c r="N126" s="60" t="e">
        <f t="shared" si="85"/>
        <v>#DIV/0!</v>
      </c>
      <c r="P126" s="60" t="e">
        <f>IF($A$114=1,AW126,IF($A$114=2,BW126,IF($A$114=3,CW126,IF($A$114=4,DW126))))</f>
        <v>#DIV/0!</v>
      </c>
      <c r="AA126" s="1134"/>
      <c r="AB126" s="1107">
        <f t="shared" si="91"/>
        <v>70</v>
      </c>
      <c r="AC126" s="1140">
        <v>4.8000000000000015E-2</v>
      </c>
      <c r="AD126" s="1140">
        <v>5.2750000000000012E-2</v>
      </c>
      <c r="AE126" s="1140">
        <v>5.7500000000000002E-2</v>
      </c>
      <c r="AF126" s="1140">
        <v>6.2250000000000014E-2</v>
      </c>
      <c r="AG126" s="1140">
        <v>6.7000000000000018E-2</v>
      </c>
      <c r="AH126" s="1097"/>
      <c r="AI126" s="1107">
        <v>150</v>
      </c>
      <c r="AJ126" s="1107"/>
      <c r="AK126" s="1140">
        <v>0.2482</v>
      </c>
      <c r="AL126" s="1140"/>
      <c r="AM126" s="1140">
        <v>0.27189999999999998</v>
      </c>
      <c r="AN126" s="1140"/>
      <c r="AO126" s="1140">
        <v>0.29559999999999997</v>
      </c>
      <c r="AP126" s="1140"/>
      <c r="AQ126" s="1140">
        <v>0.31929999999999997</v>
      </c>
      <c r="AR126" s="1140"/>
      <c r="AS126" s="1140">
        <v>0.34299999999999997</v>
      </c>
      <c r="AT126" s="1140"/>
      <c r="AU126" s="1097"/>
      <c r="AV126" s="1097"/>
      <c r="AW126" s="1108" t="s">
        <v>3966</v>
      </c>
      <c r="AX126" s="1131"/>
      <c r="AY126" s="1131"/>
      <c r="AZ126" s="1131"/>
      <c r="BA126" s="1131"/>
      <c r="BB126" s="1131"/>
      <c r="BH126" s="1134"/>
      <c r="BI126" s="1107">
        <f t="shared" si="88"/>
        <v>70</v>
      </c>
      <c r="BJ126" s="1142">
        <v>2.8000000000000011E-2</v>
      </c>
      <c r="BK126" s="1142">
        <v>3.125E-2</v>
      </c>
      <c r="BL126" s="1142">
        <v>3.450000000000001E-2</v>
      </c>
      <c r="BM126" s="1142">
        <v>3.7750000000000013E-2</v>
      </c>
      <c r="BN126" s="1142">
        <v>4.1000000000000009E-2</v>
      </c>
      <c r="BO126" s="1099"/>
      <c r="BP126" s="1107">
        <v>150</v>
      </c>
      <c r="BQ126" s="1142">
        <v>0.15590000000000001</v>
      </c>
      <c r="BR126" s="1142">
        <v>0.17420000000000002</v>
      </c>
      <c r="BS126" s="1142">
        <v>0.1925</v>
      </c>
      <c r="BT126" s="1142">
        <v>0.21080000000000002</v>
      </c>
      <c r="BU126" s="1142">
        <v>0.22910000000000003</v>
      </c>
      <c r="BV126" s="1099"/>
      <c r="BW126" s="1109" t="s">
        <v>3966</v>
      </c>
      <c r="BX126" s="1105"/>
      <c r="BY126" s="1105"/>
      <c r="BZ126" s="1105"/>
      <c r="CA126" s="1105"/>
      <c r="CB126" s="1105"/>
      <c r="CH126" s="1134"/>
      <c r="CI126" s="1107">
        <f t="shared" si="89"/>
        <v>70</v>
      </c>
      <c r="CJ126" s="1142">
        <v>2.5000000000000001E-2</v>
      </c>
      <c r="CK126" s="1142">
        <v>2.7999999999999997E-2</v>
      </c>
      <c r="CL126" s="1142">
        <v>3.1000000000000007E-2</v>
      </c>
      <c r="CM126" s="1142">
        <v>3.4000000000000002E-2</v>
      </c>
      <c r="CN126" s="1142">
        <v>3.7000000000000005E-2</v>
      </c>
      <c r="CO126" s="1099"/>
      <c r="CP126" s="1107">
        <v>150</v>
      </c>
      <c r="CQ126" s="1142">
        <v>0.13252295</v>
      </c>
      <c r="CR126" s="1142">
        <v>0.14833589999999999</v>
      </c>
      <c r="CS126" s="1142">
        <v>0.16414884999999999</v>
      </c>
      <c r="CT126" s="1142">
        <v>0.17996180000000001</v>
      </c>
      <c r="CU126" s="1142">
        <v>0.19577475</v>
      </c>
      <c r="CV126" s="1099"/>
      <c r="CW126" s="1109" t="s">
        <v>3966</v>
      </c>
      <c r="CX126" s="1105"/>
      <c r="CY126" s="1105"/>
      <c r="CZ126" s="1105"/>
      <c r="DA126" s="1105"/>
      <c r="DB126" s="1105"/>
      <c r="DI126" s="1107">
        <f t="shared" si="90"/>
        <v>70</v>
      </c>
      <c r="DJ126" s="1142">
        <v>2.1999999999999995E-2</v>
      </c>
      <c r="DK126" s="1142">
        <v>2.4749999999999994E-2</v>
      </c>
      <c r="DL126" s="1142">
        <v>2.75E-2</v>
      </c>
      <c r="DM126" s="1142">
        <v>3.0249999999999996E-2</v>
      </c>
      <c r="DN126" s="1142">
        <v>3.2999999999999995E-2</v>
      </c>
      <c r="DO126" s="1099"/>
      <c r="DP126" s="1107">
        <v>150</v>
      </c>
      <c r="DQ126" s="1142">
        <v>0.10914589999999999</v>
      </c>
      <c r="DR126" s="1142">
        <v>0.12247179999999998</v>
      </c>
      <c r="DS126" s="1142">
        <v>0.13579769999999997</v>
      </c>
      <c r="DT126" s="1142">
        <v>0.14912359999999997</v>
      </c>
      <c r="DU126" s="1142">
        <v>0.16244949999999997</v>
      </c>
      <c r="DV126" s="1099"/>
      <c r="DW126" s="1109" t="s">
        <v>3966</v>
      </c>
      <c r="DX126" s="1105"/>
      <c r="DY126" s="1105"/>
      <c r="DZ126" s="1105"/>
      <c r="EA126" s="1105"/>
      <c r="EB126" s="1105"/>
    </row>
    <row r="127" spans="1:132" ht="12.75" x14ac:dyDescent="0.2">
      <c r="I127" s="60" t="e">
        <f t="shared" si="81"/>
        <v>#DIV/0!</v>
      </c>
      <c r="J127" s="60" t="e">
        <f t="shared" si="74"/>
        <v>#DIV/0!</v>
      </c>
      <c r="K127" s="60" t="e">
        <f t="shared" si="82"/>
        <v>#DIV/0!</v>
      </c>
      <c r="L127" s="60" t="e">
        <f t="shared" si="83"/>
        <v>#DIV/0!</v>
      </c>
      <c r="M127" s="60" t="e">
        <f t="shared" si="84"/>
        <v>#DIV/0!</v>
      </c>
      <c r="N127" s="60" t="e">
        <f t="shared" si="85"/>
        <v>#DIV/0!</v>
      </c>
      <c r="P127" s="60" t="e">
        <f t="shared" ref="P127:P132" si="92">IF($A$114=1,AW127,IF($A$114=2,BW127,IF($A$114=3,CW127,IF($A$114=4,DW127))))</f>
        <v>#DIV/0!</v>
      </c>
      <c r="Q127" s="60" t="e">
        <f>IF($A$114=1,AX127,IF($A$114=2,BX127,IF($A$114=3,CX127,IF($A$114=4,DW127))))</f>
        <v>#DIV/0!</v>
      </c>
      <c r="AA127" s="1134"/>
      <c r="AB127" s="1099" t="s">
        <v>3285</v>
      </c>
      <c r="AC127" s="1143"/>
      <c r="AD127" s="1143"/>
      <c r="AE127" s="1143"/>
      <c r="AF127" s="1143"/>
      <c r="AG127" s="1143"/>
      <c r="AH127" s="1097"/>
      <c r="AI127" s="1107">
        <v>160</v>
      </c>
      <c r="AJ127" s="1107"/>
      <c r="AK127" s="1140">
        <v>0.27500000000000002</v>
      </c>
      <c r="AL127" s="1140"/>
      <c r="AM127" s="1140">
        <v>0.30125000000000002</v>
      </c>
      <c r="AN127" s="1140"/>
      <c r="AO127" s="1140">
        <v>0.32750000000000001</v>
      </c>
      <c r="AP127" s="1140"/>
      <c r="AQ127" s="1140">
        <v>0.35375000000000001</v>
      </c>
      <c r="AR127" s="1140"/>
      <c r="AS127" s="1140">
        <v>0.38</v>
      </c>
      <c r="AT127" s="1140"/>
      <c r="AU127" s="1097"/>
      <c r="AV127" s="1097"/>
      <c r="AW127" s="1108" t="s">
        <v>3411</v>
      </c>
      <c r="AX127" s="1124" t="s">
        <v>3968</v>
      </c>
      <c r="AY127" s="1124"/>
      <c r="AZ127" s="1116"/>
      <c r="BA127" s="1116"/>
      <c r="BB127" s="1116"/>
      <c r="BH127" s="1134"/>
      <c r="BI127" s="1099" t="s">
        <v>1259</v>
      </c>
      <c r="BJ127" s="1143"/>
      <c r="BK127" s="1143"/>
      <c r="BL127" s="1143"/>
      <c r="BM127" s="1143"/>
      <c r="BN127" s="1143"/>
      <c r="BO127" s="1099"/>
      <c r="BP127" s="1107">
        <v>160</v>
      </c>
      <c r="BQ127" s="1142">
        <v>0.17299999999999999</v>
      </c>
      <c r="BR127" s="1142">
        <v>0.19325000000000001</v>
      </c>
      <c r="BS127" s="1142">
        <v>0.21350000000000002</v>
      </c>
      <c r="BT127" s="1142">
        <v>0.23375000000000001</v>
      </c>
      <c r="BU127" s="1142">
        <v>0.254</v>
      </c>
      <c r="BV127" s="1099"/>
      <c r="BW127" s="1109" t="s">
        <v>3411</v>
      </c>
      <c r="BX127" s="1120" t="s">
        <v>3968</v>
      </c>
      <c r="BY127" s="1120"/>
      <c r="BZ127" s="1114"/>
      <c r="CA127" s="1114"/>
      <c r="CB127" s="1114"/>
      <c r="CH127" s="1134"/>
      <c r="CI127" s="1099" t="s">
        <v>225</v>
      </c>
      <c r="CJ127" s="1143"/>
      <c r="CK127" s="1143"/>
      <c r="CL127" s="1143"/>
      <c r="CM127" s="1143"/>
      <c r="CN127" s="1143"/>
      <c r="CO127" s="1099"/>
      <c r="CP127" s="1107">
        <v>160</v>
      </c>
      <c r="CQ127" s="1142">
        <v>0.1470255</v>
      </c>
      <c r="CR127" s="1142">
        <v>0.16452600000000001</v>
      </c>
      <c r="CS127" s="1142">
        <v>0.18202650000000001</v>
      </c>
      <c r="CT127" s="1142">
        <v>0.19952700000000001</v>
      </c>
      <c r="CU127" s="1142">
        <v>0.21702750000000001</v>
      </c>
      <c r="CV127" s="1099"/>
      <c r="CW127" s="1109" t="s">
        <v>3411</v>
      </c>
      <c r="CX127" s="1120" t="s">
        <v>3968</v>
      </c>
      <c r="CY127" s="1120"/>
      <c r="CZ127" s="1114"/>
      <c r="DA127" s="1114"/>
      <c r="DB127" s="1114"/>
      <c r="DI127" s="1099" t="s">
        <v>1264</v>
      </c>
      <c r="DJ127" s="1143"/>
      <c r="DK127" s="1143"/>
      <c r="DL127" s="1143"/>
      <c r="DM127" s="1143"/>
      <c r="DN127" s="1143"/>
      <c r="DO127" s="1099"/>
      <c r="DP127" s="1107">
        <v>160</v>
      </c>
      <c r="DQ127" s="1142">
        <v>0.12105100000000001</v>
      </c>
      <c r="DR127" s="1142">
        <v>0.13580200000000001</v>
      </c>
      <c r="DS127" s="1142">
        <v>0.15055299999999999</v>
      </c>
      <c r="DT127" s="1142">
        <v>0.16530400000000001</v>
      </c>
      <c r="DU127" s="1142">
        <v>0.18005500000000002</v>
      </c>
      <c r="DV127" s="1099"/>
      <c r="DW127" s="1109" t="s">
        <v>3411</v>
      </c>
      <c r="DX127" s="1120" t="s">
        <v>3968</v>
      </c>
      <c r="DY127" s="1120"/>
      <c r="DZ127" s="1114"/>
      <c r="EA127" s="1114"/>
      <c r="EB127" s="1114"/>
    </row>
    <row r="128" spans="1:132" ht="12.75" x14ac:dyDescent="0.2">
      <c r="P128" s="60" t="e">
        <f t="shared" si="92"/>
        <v>#DIV/0!</v>
      </c>
      <c r="S128" s="60" t="e">
        <f>IF($A$114=1,AZ128,IF($A$114=2,BZ128,IF($A$114=3,CZ128,IF($A$114=4,DZ128))))</f>
        <v>#DIV/0!</v>
      </c>
      <c r="AA128" s="1134"/>
      <c r="AB128" s="1097"/>
      <c r="AC128" s="1097"/>
      <c r="AD128" s="1097"/>
      <c r="AE128" s="1097"/>
      <c r="AF128" s="1097"/>
      <c r="AG128" s="1097"/>
      <c r="AH128" s="1097"/>
      <c r="AI128" s="1099" t="s">
        <v>1256</v>
      </c>
      <c r="AJ128" s="1099"/>
      <c r="AK128" s="1143"/>
      <c r="AL128" s="1143"/>
      <c r="AM128" s="1143"/>
      <c r="AN128" s="1143"/>
      <c r="AO128" s="1143"/>
      <c r="AP128" s="1143"/>
      <c r="AQ128" s="1143"/>
      <c r="AR128" s="1143"/>
      <c r="AS128" s="1143"/>
      <c r="AT128" s="1143"/>
      <c r="AU128" s="1097"/>
      <c r="AV128" s="1097"/>
      <c r="AW128" s="1144" t="s">
        <v>3970</v>
      </c>
      <c r="AX128" s="1117"/>
      <c r="AY128" s="1117"/>
      <c r="AZ128" s="1145">
        <v>0.29899329218022064</v>
      </c>
      <c r="BA128" s="1117"/>
      <c r="BB128" s="1117"/>
      <c r="BH128" s="1134"/>
      <c r="BI128" s="1099"/>
      <c r="BJ128" s="1099"/>
      <c r="BK128" s="1099"/>
      <c r="BL128" s="1099"/>
      <c r="BM128" s="1099"/>
      <c r="BN128" s="1099"/>
      <c r="BO128" s="1099"/>
      <c r="BP128" s="1099" t="s">
        <v>1260</v>
      </c>
      <c r="BQ128" s="1143"/>
      <c r="BR128" s="1143"/>
      <c r="BS128" s="1143"/>
      <c r="BT128" s="1143"/>
      <c r="BU128" s="1143"/>
      <c r="BV128" s="1099"/>
      <c r="BW128" s="1146" t="s">
        <v>3970</v>
      </c>
      <c r="BX128" s="1119"/>
      <c r="BY128" s="1119"/>
      <c r="BZ128" s="1145">
        <v>0.29377810087511852</v>
      </c>
      <c r="CA128" s="1119"/>
      <c r="CB128" s="1119"/>
      <c r="CH128" s="1134"/>
      <c r="CI128" s="1099"/>
      <c r="CJ128" s="1099"/>
      <c r="CK128" s="1099"/>
      <c r="CL128" s="1099"/>
      <c r="CM128" s="1099"/>
      <c r="CN128" s="1099"/>
      <c r="CO128" s="1099"/>
      <c r="CP128" s="1099" t="s">
        <v>226</v>
      </c>
      <c r="CQ128" s="1143"/>
      <c r="CR128" s="1143"/>
      <c r="CS128" s="1143"/>
      <c r="CT128" s="1143"/>
      <c r="CU128" s="1143"/>
      <c r="CV128" s="1099"/>
      <c r="CW128" s="1146" t="s">
        <v>3970</v>
      </c>
      <c r="CX128" s="1119"/>
      <c r="CY128" s="1119"/>
      <c r="CZ128" s="1147">
        <v>0.29455368560425332</v>
      </c>
      <c r="DA128" s="1119"/>
      <c r="DB128" s="1119"/>
      <c r="DI128" s="1099"/>
      <c r="DJ128" s="1099"/>
      <c r="DK128" s="1099"/>
      <c r="DL128" s="1099"/>
      <c r="DM128" s="1099"/>
      <c r="DN128" s="1099"/>
      <c r="DO128" s="1099"/>
      <c r="DP128" s="1099" t="s">
        <v>1265</v>
      </c>
      <c r="DQ128" s="1143"/>
      <c r="DR128" s="1143"/>
      <c r="DS128" s="1143"/>
      <c r="DT128" s="1143"/>
      <c r="DU128" s="1143"/>
      <c r="DV128" s="1099"/>
      <c r="DW128" s="1146" t="s">
        <v>3970</v>
      </c>
      <c r="DX128" s="1119"/>
      <c r="DY128" s="1119"/>
      <c r="DZ128" s="1145">
        <v>0.29532927033338807</v>
      </c>
      <c r="EA128" s="1119"/>
      <c r="EB128" s="1119"/>
    </row>
    <row r="129" spans="2:132" ht="12.75" x14ac:dyDescent="0.2">
      <c r="B129" s="60" t="e">
        <f t="shared" si="76"/>
        <v>#DIV/0!</v>
      </c>
      <c r="D129" s="60" t="e">
        <f t="shared" ref="D129:G130" si="93">IF($A$114=1,AD129,IF($A$114=2,BK129,IF($A$114=3,CK129,IF($A$114=4,DJ129))))</f>
        <v>#DIV/0!</v>
      </c>
      <c r="E129" s="60" t="e">
        <f t="shared" si="93"/>
        <v>#DIV/0!</v>
      </c>
      <c r="F129" s="60" t="e">
        <f t="shared" si="93"/>
        <v>#DIV/0!</v>
      </c>
      <c r="G129" s="60" t="e">
        <f t="shared" si="93"/>
        <v>#DIV/0!</v>
      </c>
      <c r="P129" s="60" t="e">
        <f t="shared" si="92"/>
        <v>#DIV/0!</v>
      </c>
      <c r="S129" s="60" t="e">
        <f t="shared" ref="S129:S132" si="94">IF($A$114=1,AZ129,IF($A$114=2,BZ129,IF($A$114=3,CZ129,IF($A$114=4,DZ129))))</f>
        <v>#DIV/0!</v>
      </c>
      <c r="AA129" s="1134"/>
      <c r="AB129" s="1093" t="s">
        <v>3971</v>
      </c>
      <c r="AC129" s="1148"/>
      <c r="AD129" s="1148" t="s">
        <v>2699</v>
      </c>
      <c r="AE129" s="1148" t="s">
        <v>2701</v>
      </c>
      <c r="AF129" s="1148" t="s">
        <v>2703</v>
      </c>
      <c r="AG129" s="1148" t="s">
        <v>2705</v>
      </c>
      <c r="AH129" s="1097"/>
      <c r="AI129" s="1097"/>
      <c r="AJ129" s="1097"/>
      <c r="AK129" s="1097"/>
      <c r="AL129" s="1097"/>
      <c r="AM129" s="1097"/>
      <c r="AN129" s="1097"/>
      <c r="AO129" s="1097"/>
      <c r="AP129" s="1097"/>
      <c r="AQ129" s="1097"/>
      <c r="AR129" s="1097"/>
      <c r="AS129" s="1097"/>
      <c r="AT129" s="1097"/>
      <c r="AU129" s="1097"/>
      <c r="AV129" s="1097"/>
      <c r="AW129" s="1144" t="s">
        <v>3972</v>
      </c>
      <c r="AX129" s="1117"/>
      <c r="AY129" s="1117"/>
      <c r="AZ129" s="1145">
        <v>0.64735304264423266</v>
      </c>
      <c r="BA129" s="1117"/>
      <c r="BB129" s="1117"/>
      <c r="BH129" s="1134"/>
      <c r="BI129" s="1100" t="s">
        <v>3971</v>
      </c>
      <c r="BJ129" s="1147"/>
      <c r="BK129" s="1147" t="s">
        <v>2699</v>
      </c>
      <c r="BL129" s="1147" t="s">
        <v>2701</v>
      </c>
      <c r="BM129" s="1147" t="s">
        <v>2703</v>
      </c>
      <c r="BN129" s="1147" t="s">
        <v>2705</v>
      </c>
      <c r="BO129" s="1099"/>
      <c r="BP129" s="1099"/>
      <c r="BQ129" s="1099"/>
      <c r="BR129" s="1099"/>
      <c r="BS129" s="1099"/>
      <c r="BT129" s="1099"/>
      <c r="BU129" s="1099"/>
      <c r="BV129" s="1099"/>
      <c r="BW129" s="1146" t="s">
        <v>3972</v>
      </c>
      <c r="BX129" s="1119"/>
      <c r="BY129" s="1119"/>
      <c r="BZ129" s="1145">
        <v>0.64391294270678201</v>
      </c>
      <c r="CA129" s="1119"/>
      <c r="CB129" s="1119"/>
      <c r="CH129" s="1134"/>
      <c r="CI129" s="1100" t="s">
        <v>3971</v>
      </c>
      <c r="CJ129" s="1147"/>
      <c r="CK129" s="1147" t="s">
        <v>2699</v>
      </c>
      <c r="CL129" s="1147" t="s">
        <v>2701</v>
      </c>
      <c r="CM129" s="1147" t="s">
        <v>2703</v>
      </c>
      <c r="CN129" s="1147" t="s">
        <v>2705</v>
      </c>
      <c r="CO129" s="1099"/>
      <c r="CP129" s="1099"/>
      <c r="CQ129" s="1099"/>
      <c r="CR129" s="1099"/>
      <c r="CS129" s="1099"/>
      <c r="CT129" s="1099"/>
      <c r="CU129" s="1099"/>
      <c r="CV129" s="1099"/>
      <c r="CW129" s="1146" t="s">
        <v>3972</v>
      </c>
      <c r="CX129" s="1119"/>
      <c r="CY129" s="1119"/>
      <c r="CZ129" s="1147">
        <v>0.64363689479520358</v>
      </c>
      <c r="DA129" s="1119"/>
      <c r="DB129" s="1119"/>
      <c r="DI129" s="1100" t="s">
        <v>3971</v>
      </c>
      <c r="DJ129" s="1147"/>
      <c r="DK129" s="1147" t="s">
        <v>2699</v>
      </c>
      <c r="DL129" s="1147" t="s">
        <v>2701</v>
      </c>
      <c r="DM129" s="1147" t="s">
        <v>2703</v>
      </c>
      <c r="DN129" s="1147" t="s">
        <v>2705</v>
      </c>
      <c r="DO129" s="1099"/>
      <c r="DP129" s="1099"/>
      <c r="DQ129" s="1099"/>
      <c r="DR129" s="1099"/>
      <c r="DS129" s="1099"/>
      <c r="DT129" s="1099"/>
      <c r="DU129" s="1099"/>
      <c r="DV129" s="1099"/>
      <c r="DW129" s="1146" t="s">
        <v>3972</v>
      </c>
      <c r="DX129" s="1119"/>
      <c r="DY129" s="1119"/>
      <c r="DZ129" s="1145">
        <v>0.64336084688362527</v>
      </c>
      <c r="EA129" s="1119"/>
      <c r="EB129" s="1119"/>
    </row>
    <row r="130" spans="2:132" ht="12.75" x14ac:dyDescent="0.2">
      <c r="B130" s="60" t="e">
        <f t="shared" si="76"/>
        <v>#DIV/0!</v>
      </c>
      <c r="D130" s="60" t="e">
        <f t="shared" si="93"/>
        <v>#DIV/0!</v>
      </c>
      <c r="E130" s="60" t="e">
        <f t="shared" si="93"/>
        <v>#DIV/0!</v>
      </c>
      <c r="F130" s="60" t="e">
        <f t="shared" si="93"/>
        <v>#DIV/0!</v>
      </c>
      <c r="G130" s="60" t="e">
        <f t="shared" si="93"/>
        <v>#DIV/0!</v>
      </c>
      <c r="I130" s="60" t="e">
        <f>IF($A$114=1,AI130,IF($A$114=2,BP130,IF($A$114=3,CP130,IF($A$114=4,DP130))))</f>
        <v>#DIV/0!</v>
      </c>
      <c r="K130" s="60" t="e">
        <f>IF($A$114=1,AM130,IF($A$114=2,BR130,IF($A$114=3,CR130,IF($A$114=4,DQ130))))</f>
        <v>#DIV/0!</v>
      </c>
      <c r="L130" s="60" t="e">
        <f>IF($A$114=1,AO130,IF($A$114=2,BS130,IF($A$114=3,CS130,IF($A$114=4,DR130))))</f>
        <v>#DIV/0!</v>
      </c>
      <c r="M130" s="60" t="e">
        <f>IF($A$114=1,AQ130,IF($A$114=2,BT130,IF($A$114=3,CT130,IF($A$114=4,DS130))))</f>
        <v>#DIV/0!</v>
      </c>
      <c r="N130" s="60" t="e">
        <f>IF($A$114=1,AS130,IF($A$114=2,BU130,IF($A$114=3,CU130,IF($A$114=4,DT130))))</f>
        <v>#DIV/0!</v>
      </c>
      <c r="P130" s="60" t="e">
        <f t="shared" si="92"/>
        <v>#DIV/0!</v>
      </c>
      <c r="S130" s="60" t="e">
        <f t="shared" si="94"/>
        <v>#DIV/0!</v>
      </c>
      <c r="AA130" s="1134"/>
      <c r="AB130" s="1108" t="s">
        <v>3973</v>
      </c>
      <c r="AC130" s="1131"/>
      <c r="AD130" s="1148">
        <v>1.7478260869565219</v>
      </c>
      <c r="AE130" s="1148">
        <v>1.2260869565217389</v>
      </c>
      <c r="AF130" s="1148">
        <v>1</v>
      </c>
      <c r="AG130" s="1148">
        <v>0.86956521739130432</v>
      </c>
      <c r="AH130" s="1097"/>
      <c r="AI130" s="1093" t="s">
        <v>3971</v>
      </c>
      <c r="AJ130" s="1093"/>
      <c r="AK130" s="1148"/>
      <c r="AL130" s="1148"/>
      <c r="AM130" s="1148" t="s">
        <v>2699</v>
      </c>
      <c r="AN130" s="1148"/>
      <c r="AO130" s="1148" t="s">
        <v>2701</v>
      </c>
      <c r="AP130" s="1148"/>
      <c r="AQ130" s="1148" t="s">
        <v>2703</v>
      </c>
      <c r="AR130" s="1148"/>
      <c r="AS130" s="1148" t="s">
        <v>2705</v>
      </c>
      <c r="AT130" s="1148"/>
      <c r="AU130" s="1097"/>
      <c r="AV130" s="1097"/>
      <c r="AW130" s="1144" t="s">
        <v>3974</v>
      </c>
      <c r="AX130" s="1117"/>
      <c r="AY130" s="1117"/>
      <c r="AZ130" s="1145">
        <v>1</v>
      </c>
      <c r="BA130" s="1117"/>
      <c r="BB130" s="1117"/>
      <c r="BH130" s="1134"/>
      <c r="BI130" s="1109" t="s">
        <v>3973</v>
      </c>
      <c r="BJ130" s="1105"/>
      <c r="BK130" s="1147">
        <v>1.8433734939759034</v>
      </c>
      <c r="BL130" s="1147">
        <v>1.2409638554216866</v>
      </c>
      <c r="BM130" s="1147">
        <v>1</v>
      </c>
      <c r="BN130" s="1147">
        <v>0.85542168674698782</v>
      </c>
      <c r="BO130" s="1099"/>
      <c r="BP130" s="1100" t="s">
        <v>3971</v>
      </c>
      <c r="BQ130" s="1147"/>
      <c r="BR130" s="1147" t="s">
        <v>2699</v>
      </c>
      <c r="BS130" s="1147" t="s">
        <v>2701</v>
      </c>
      <c r="BT130" s="1147" t="s">
        <v>2703</v>
      </c>
      <c r="BU130" s="1147" t="s">
        <v>2705</v>
      </c>
      <c r="BV130" s="1099"/>
      <c r="BW130" s="1146" t="s">
        <v>3974</v>
      </c>
      <c r="BX130" s="1119"/>
      <c r="BY130" s="1119"/>
      <c r="BZ130" s="1145">
        <v>1</v>
      </c>
      <c r="CA130" s="1119"/>
      <c r="CB130" s="1119"/>
      <c r="CH130" s="1134"/>
      <c r="CI130" s="1109" t="s">
        <v>3973</v>
      </c>
      <c r="CJ130" s="1105"/>
      <c r="CK130" s="1147">
        <v>1.8383534136546185</v>
      </c>
      <c r="CL130" s="1147">
        <v>1.2454819277108433</v>
      </c>
      <c r="CM130" s="1147">
        <v>1</v>
      </c>
      <c r="CN130" s="1147">
        <v>0.86104417670682731</v>
      </c>
      <c r="CO130" s="1099"/>
      <c r="CP130" s="1100" t="s">
        <v>3971</v>
      </c>
      <c r="CQ130" s="1147"/>
      <c r="CR130" s="1147" t="s">
        <v>2699</v>
      </c>
      <c r="CS130" s="1147" t="s">
        <v>2701</v>
      </c>
      <c r="CT130" s="1147" t="s">
        <v>2703</v>
      </c>
      <c r="CU130" s="1147" t="s">
        <v>2705</v>
      </c>
      <c r="CV130" s="1099"/>
      <c r="CW130" s="1146" t="s">
        <v>3974</v>
      </c>
      <c r="CX130" s="1119"/>
      <c r="CY130" s="1119"/>
      <c r="CZ130" s="1147">
        <v>1</v>
      </c>
      <c r="DA130" s="1119"/>
      <c r="DB130" s="1119"/>
      <c r="DI130" s="1109" t="s">
        <v>3973</v>
      </c>
      <c r="DJ130" s="1105"/>
      <c r="DK130" s="1147">
        <v>1.8333333333333335</v>
      </c>
      <c r="DL130" s="1147">
        <v>1.25</v>
      </c>
      <c r="DM130" s="1147">
        <v>1</v>
      </c>
      <c r="DN130" s="1147">
        <v>0.8666666666666667</v>
      </c>
      <c r="DO130" s="1099"/>
      <c r="DP130" s="1100" t="s">
        <v>3971</v>
      </c>
      <c r="DQ130" s="1147"/>
      <c r="DR130" s="1147" t="s">
        <v>2699</v>
      </c>
      <c r="DS130" s="1147" t="s">
        <v>2701</v>
      </c>
      <c r="DT130" s="1147" t="s">
        <v>2703</v>
      </c>
      <c r="DU130" s="1147" t="s">
        <v>2705</v>
      </c>
      <c r="DV130" s="1099"/>
      <c r="DW130" s="1146" t="s">
        <v>3974</v>
      </c>
      <c r="DX130" s="1119"/>
      <c r="DY130" s="1119"/>
      <c r="DZ130" s="1145">
        <v>1</v>
      </c>
      <c r="EA130" s="1119"/>
      <c r="EB130" s="1119"/>
    </row>
    <row r="131" spans="2:132" ht="12.75" x14ac:dyDescent="0.2">
      <c r="K131" s="60" t="e">
        <f>IF($A$114=1,AM131,IF($A$114=2,BR131,IF($A$114=3,CR131,IF($A$114=4,DQ131))))</f>
        <v>#DIV/0!</v>
      </c>
      <c r="L131" s="60" t="e">
        <f>IF($A$114=1,AO131,IF($A$114=2,BS131,IF($A$114=3,CS131,IF($A$114=4,DR131))))</f>
        <v>#DIV/0!</v>
      </c>
      <c r="M131" s="60" t="e">
        <f>IF($A$114=1,AQ131,IF($A$114=2,BT131,IF($A$114=3,CT131,IF($A$114=4,DS131))))</f>
        <v>#DIV/0!</v>
      </c>
      <c r="N131" s="60" t="e">
        <f>IF($A$114=1,AS131,IF($A$114=2,BU131,IF($A$114=3,CU131,IF($A$114=4,DT131))))</f>
        <v>#DIV/0!</v>
      </c>
      <c r="P131" s="60" t="e">
        <f t="shared" si="92"/>
        <v>#DIV/0!</v>
      </c>
      <c r="S131" s="60" t="e">
        <f t="shared" si="94"/>
        <v>#DIV/0!</v>
      </c>
      <c r="AA131" s="1134"/>
      <c r="AB131" s="1117"/>
      <c r="AC131" s="1117"/>
      <c r="AD131" s="1117"/>
      <c r="AE131" s="1117"/>
      <c r="AF131" s="1117"/>
      <c r="AG131" s="1117"/>
      <c r="AH131" s="1097"/>
      <c r="AI131" s="1108" t="s">
        <v>3975</v>
      </c>
      <c r="AJ131" s="1108"/>
      <c r="AK131" s="1131"/>
      <c r="AL131" s="1131"/>
      <c r="AM131" s="1148">
        <v>1.8246753246753249</v>
      </c>
      <c r="AN131" s="1148"/>
      <c r="AO131" s="1148">
        <v>1.2727272727272727</v>
      </c>
      <c r="AP131" s="1148"/>
      <c r="AQ131" s="1148">
        <v>1</v>
      </c>
      <c r="AR131" s="1148"/>
      <c r="AS131" s="1148">
        <v>0.85064935064935066</v>
      </c>
      <c r="AT131" s="1148"/>
      <c r="AU131" s="1097"/>
      <c r="AV131" s="1097"/>
      <c r="AW131" s="1144" t="s">
        <v>3976</v>
      </c>
      <c r="AX131" s="1117"/>
      <c r="AY131" s="1117"/>
      <c r="AZ131" s="1145">
        <v>2.0250876755259903</v>
      </c>
      <c r="BA131" s="1117"/>
      <c r="BB131" s="1117"/>
      <c r="BH131" s="1134"/>
      <c r="BI131" s="1119"/>
      <c r="BJ131" s="1119"/>
      <c r="BK131" s="1119"/>
      <c r="BL131" s="1119"/>
      <c r="BM131" s="1119"/>
      <c r="BN131" s="1119"/>
      <c r="BO131" s="1099"/>
      <c r="BP131" s="1109" t="s">
        <v>3975</v>
      </c>
      <c r="BQ131" s="1105"/>
      <c r="BR131" s="1147">
        <v>1.9339622641509433</v>
      </c>
      <c r="BS131" s="1147">
        <v>1.2641509433962266</v>
      </c>
      <c r="BT131" s="1147">
        <v>1</v>
      </c>
      <c r="BU131" s="1147">
        <v>0.85849056603773588</v>
      </c>
      <c r="BV131" s="1099"/>
      <c r="BW131" s="1146" t="s">
        <v>3976</v>
      </c>
      <c r="BX131" s="1119"/>
      <c r="BY131" s="1119"/>
      <c r="BZ131" s="1145">
        <v>2.0223094813008027</v>
      </c>
      <c r="CA131" s="1119"/>
      <c r="CB131" s="1119"/>
      <c r="CH131" s="1134"/>
      <c r="CI131" s="1119"/>
      <c r="CJ131" s="1119"/>
      <c r="CK131" s="1119"/>
      <c r="CL131" s="1119"/>
      <c r="CM131" s="1119"/>
      <c r="CN131" s="1119"/>
      <c r="CO131" s="1099"/>
      <c r="CP131" s="1109" t="s">
        <v>3975</v>
      </c>
      <c r="CQ131" s="1105"/>
      <c r="CR131" s="1147">
        <v>1.9044811320754715</v>
      </c>
      <c r="CS131" s="1147">
        <v>1.2570754716981134</v>
      </c>
      <c r="CT131" s="1147">
        <v>1</v>
      </c>
      <c r="CU131" s="1147">
        <v>0.85980083857442358</v>
      </c>
      <c r="CV131" s="1099"/>
      <c r="CW131" s="1146" t="s">
        <v>3976</v>
      </c>
      <c r="CX131" s="1119"/>
      <c r="CY131" s="1119"/>
      <c r="CZ131" s="1147">
        <v>2.1485714463988135</v>
      </c>
      <c r="DA131" s="1119"/>
      <c r="DB131" s="1119"/>
      <c r="DI131" s="1119"/>
      <c r="DJ131" s="1119"/>
      <c r="DK131" s="1119"/>
      <c r="DL131" s="1119"/>
      <c r="DM131" s="1119"/>
      <c r="DN131" s="1119"/>
      <c r="DO131" s="1099"/>
      <c r="DP131" s="1109" t="s">
        <v>3975</v>
      </c>
      <c r="DQ131" s="1105"/>
      <c r="DR131" s="1147">
        <v>1.875</v>
      </c>
      <c r="DS131" s="1147">
        <v>1.25</v>
      </c>
      <c r="DT131" s="1147">
        <v>1</v>
      </c>
      <c r="DU131" s="1147">
        <v>0.86111111111111116</v>
      </c>
      <c r="DV131" s="1099"/>
      <c r="DW131" s="1146" t="s">
        <v>3976</v>
      </c>
      <c r="DX131" s="1119"/>
      <c r="DY131" s="1119"/>
      <c r="DZ131" s="1145">
        <v>2.2748334114968238</v>
      </c>
      <c r="EA131" s="1119"/>
      <c r="EB131" s="1119"/>
    </row>
    <row r="132" spans="2:132" ht="12.75" x14ac:dyDescent="0.2">
      <c r="P132" s="60" t="e">
        <f t="shared" si="92"/>
        <v>#DIV/0!</v>
      </c>
      <c r="S132" s="60" t="e">
        <f t="shared" si="94"/>
        <v>#DIV/0!</v>
      </c>
      <c r="AA132" s="1134"/>
      <c r="AB132" s="1117"/>
      <c r="AC132" s="1117"/>
      <c r="AD132" s="1117"/>
      <c r="AE132" s="1117"/>
      <c r="AF132" s="1117"/>
      <c r="AG132" s="1117"/>
      <c r="AH132" s="1097"/>
      <c r="AI132" s="1117"/>
      <c r="AJ132" s="1117"/>
      <c r="AK132" s="1117"/>
      <c r="AL132" s="1117"/>
      <c r="AM132" s="1117"/>
      <c r="AN132" s="1117"/>
      <c r="AO132" s="1117"/>
      <c r="AP132" s="1117"/>
      <c r="AQ132" s="1117"/>
      <c r="AR132" s="1117"/>
      <c r="AS132" s="1117"/>
      <c r="AT132" s="1117"/>
      <c r="AU132" s="1097"/>
      <c r="AV132" s="1097"/>
      <c r="AW132" s="1144" t="s">
        <v>3977</v>
      </c>
      <c r="AX132" s="1117"/>
      <c r="AY132" s="1117"/>
      <c r="AZ132" s="1145">
        <v>3.0683545848240152</v>
      </c>
      <c r="BA132" s="1117"/>
      <c r="BB132" s="1117"/>
      <c r="BH132" s="1134"/>
      <c r="BI132" s="1119"/>
      <c r="BJ132" s="1119"/>
      <c r="BK132" s="1119"/>
      <c r="BL132" s="1119"/>
      <c r="BM132" s="1119"/>
      <c r="BN132" s="1119"/>
      <c r="BO132" s="1099"/>
      <c r="BP132" s="1117"/>
      <c r="BQ132" s="1117"/>
      <c r="BR132" s="1117"/>
      <c r="BS132" s="1117"/>
      <c r="BT132" s="1117"/>
      <c r="BU132" s="1117"/>
      <c r="BV132" s="1099"/>
      <c r="BW132" s="1146" t="s">
        <v>3977</v>
      </c>
      <c r="BX132" s="1119"/>
      <c r="BY132" s="1119"/>
      <c r="BZ132" s="1145">
        <v>3.0632265944311969</v>
      </c>
      <c r="CA132" s="1119"/>
      <c r="CB132" s="1119"/>
      <c r="CH132" s="1134"/>
      <c r="CI132" s="1119"/>
      <c r="CJ132" s="1119"/>
      <c r="CK132" s="1119"/>
      <c r="CL132" s="1119"/>
      <c r="CM132" s="1119"/>
      <c r="CN132" s="1119"/>
      <c r="CO132" s="1099"/>
      <c r="CP132" s="1117"/>
      <c r="CQ132" s="1117"/>
      <c r="CR132" s="1117"/>
      <c r="CS132" s="1117"/>
      <c r="CT132" s="1117"/>
      <c r="CU132" s="1117"/>
      <c r="CV132" s="1099"/>
      <c r="CW132" s="1146" t="s">
        <v>3977</v>
      </c>
      <c r="CX132" s="1119"/>
      <c r="CY132" s="1119"/>
      <c r="CZ132" s="1147">
        <v>3.1190774837023705</v>
      </c>
      <c r="DA132" s="1119"/>
      <c r="DB132" s="1119"/>
      <c r="DI132" s="1119"/>
      <c r="DJ132" s="1119"/>
      <c r="DK132" s="1119"/>
      <c r="DL132" s="1119"/>
      <c r="DM132" s="1119"/>
      <c r="DN132" s="1119"/>
      <c r="DO132" s="1099"/>
      <c r="DP132" s="1117"/>
      <c r="DQ132" s="1117"/>
      <c r="DR132" s="1117"/>
      <c r="DS132" s="1117"/>
      <c r="DT132" s="1117"/>
      <c r="DU132" s="1117"/>
      <c r="DV132" s="1099"/>
      <c r="DW132" s="1146" t="s">
        <v>3977</v>
      </c>
      <c r="DX132" s="1119"/>
      <c r="DY132" s="1119"/>
      <c r="DZ132" s="1145">
        <v>3.1749283729735436</v>
      </c>
      <c r="EA132" s="1119"/>
      <c r="EB132" s="1119"/>
    </row>
    <row r="133" spans="2:132" ht="12.75" x14ac:dyDescent="0.2">
      <c r="AA133" s="1134"/>
      <c r="AB133" s="1097"/>
      <c r="AC133" s="1097"/>
      <c r="AD133" s="1097"/>
      <c r="AE133" s="1097"/>
      <c r="AF133" s="1097"/>
      <c r="AG133" s="1097"/>
      <c r="AH133" s="1097"/>
      <c r="AI133" s="1097"/>
      <c r="AJ133" s="1097"/>
      <c r="AK133" s="1097"/>
      <c r="AL133" s="1097"/>
      <c r="AM133" s="1097"/>
      <c r="AN133" s="1097"/>
      <c r="AO133" s="1097"/>
      <c r="AP133" s="1097"/>
      <c r="AQ133" s="1097"/>
      <c r="AR133" s="1097"/>
      <c r="AS133" s="1097"/>
      <c r="AT133" s="1097"/>
      <c r="AU133" s="1097"/>
      <c r="AV133" s="1097"/>
      <c r="AW133" s="1097"/>
      <c r="AX133" s="1097"/>
      <c r="AY133" s="1097"/>
      <c r="AZ133" s="1097"/>
      <c r="BA133" s="1097"/>
      <c r="BB133" s="1097"/>
      <c r="BH133" s="1134"/>
      <c r="BI133" s="1099"/>
      <c r="BJ133" s="1099"/>
      <c r="BK133" s="1099"/>
      <c r="BL133" s="1099"/>
      <c r="BM133" s="1099"/>
      <c r="BN133" s="1099"/>
      <c r="BO133" s="1099"/>
      <c r="BP133" s="1099"/>
      <c r="BQ133" s="1099"/>
      <c r="BR133" s="1099"/>
      <c r="BS133" s="1099"/>
      <c r="BT133" s="1099"/>
      <c r="BU133" s="1099"/>
      <c r="BV133" s="1099"/>
      <c r="BW133" s="1099"/>
      <c r="BX133" s="1099"/>
      <c r="BY133" s="1099"/>
      <c r="BZ133" s="1099"/>
      <c r="CA133" s="1099"/>
      <c r="CB133" s="1099"/>
      <c r="CH133" s="1134"/>
      <c r="CI133" s="1099"/>
      <c r="CJ133" s="1099"/>
      <c r="CK133" s="1099"/>
      <c r="CL133" s="1099"/>
      <c r="CM133" s="1099"/>
      <c r="CN133" s="1099"/>
      <c r="CO133" s="1099"/>
      <c r="CP133" s="1099"/>
      <c r="CQ133" s="1099"/>
      <c r="CR133" s="1099"/>
      <c r="CS133" s="1099"/>
      <c r="CT133" s="1099"/>
      <c r="CU133" s="1099"/>
      <c r="CV133" s="1099"/>
      <c r="CW133" s="1099"/>
      <c r="CX133" s="1099"/>
      <c r="CY133" s="1099"/>
      <c r="CZ133" s="1099"/>
      <c r="DA133" s="1099"/>
      <c r="DB133" s="1099"/>
      <c r="DI133" s="1099"/>
      <c r="DJ133" s="1099"/>
      <c r="DK133" s="1099"/>
      <c r="DL133" s="1099"/>
      <c r="DM133" s="1099"/>
      <c r="DN133" s="1099"/>
      <c r="DO133" s="1099"/>
      <c r="DP133" s="1099"/>
      <c r="DQ133" s="1099"/>
      <c r="DR133" s="1099"/>
      <c r="DS133" s="1099"/>
      <c r="DT133" s="1099"/>
      <c r="DU133" s="1099"/>
      <c r="DV133" s="1099"/>
      <c r="DW133" s="1099"/>
      <c r="DX133" s="1099"/>
      <c r="DY133" s="1099"/>
      <c r="DZ133" s="1099"/>
      <c r="EA133" s="1099"/>
      <c r="EB133" s="1099"/>
    </row>
    <row r="134" spans="2:132" x14ac:dyDescent="0.2">
      <c r="AA134" s="1117"/>
      <c r="AB134" s="1097"/>
      <c r="AC134" s="1097"/>
      <c r="AD134" s="1097"/>
      <c r="AE134" s="1097"/>
      <c r="AF134" s="1097"/>
      <c r="AG134" s="1097"/>
      <c r="AH134" s="1097"/>
      <c r="AI134" s="1097"/>
      <c r="AJ134" s="1097"/>
      <c r="AK134" s="1097"/>
      <c r="AL134" s="1097"/>
      <c r="AM134" s="1097"/>
      <c r="AN134" s="1097"/>
      <c r="AO134" s="1097"/>
      <c r="AP134" s="1097"/>
      <c r="AQ134" s="1097"/>
      <c r="AR134" s="1097"/>
      <c r="AS134" s="1097"/>
      <c r="AT134" s="1097"/>
      <c r="AU134" s="1097"/>
      <c r="AV134" s="1097"/>
      <c r="AW134" s="1097"/>
      <c r="AX134" s="1097"/>
      <c r="AY134" s="1097"/>
      <c r="AZ134" s="1097"/>
      <c r="BA134" s="1097"/>
      <c r="BB134" s="1097"/>
      <c r="BH134" s="1117"/>
      <c r="BI134" s="1099"/>
      <c r="BJ134" s="1099"/>
      <c r="BK134" s="1099"/>
      <c r="BL134" s="1099"/>
      <c r="BM134" s="1099"/>
      <c r="BN134" s="1099"/>
      <c r="BO134" s="1099"/>
      <c r="BP134" s="1099"/>
      <c r="BQ134" s="1099"/>
      <c r="BR134" s="1099"/>
      <c r="BS134" s="1099"/>
      <c r="BT134" s="1099"/>
      <c r="BU134" s="1099"/>
      <c r="BV134" s="1099"/>
      <c r="BW134" s="1099"/>
      <c r="BX134" s="1099"/>
      <c r="BY134" s="1099"/>
      <c r="BZ134" s="1099"/>
      <c r="CA134" s="1099"/>
      <c r="CB134" s="1099"/>
      <c r="CH134" s="1117"/>
      <c r="CI134" s="1099"/>
      <c r="CJ134" s="1099"/>
      <c r="CK134" s="1099"/>
      <c r="CL134" s="1099"/>
      <c r="CM134" s="1099"/>
      <c r="CN134" s="1099"/>
      <c r="CO134" s="1099"/>
      <c r="CP134" s="1099"/>
      <c r="CQ134" s="1099"/>
      <c r="CR134" s="1099"/>
      <c r="CS134" s="1099"/>
      <c r="CT134" s="1099"/>
      <c r="CU134" s="1099"/>
      <c r="CV134" s="1099"/>
      <c r="CW134" s="1099"/>
      <c r="CX134" s="1099"/>
      <c r="CY134" s="1099"/>
      <c r="CZ134" s="1099"/>
      <c r="DA134" s="1099"/>
      <c r="DB134" s="1099"/>
      <c r="DI134" s="1099"/>
      <c r="DJ134" s="1099"/>
      <c r="DK134" s="1099"/>
      <c r="DL134" s="1099"/>
      <c r="DM134" s="1099"/>
      <c r="DN134" s="1099"/>
      <c r="DO134" s="1099"/>
      <c r="DP134" s="1099"/>
      <c r="DQ134" s="1099"/>
      <c r="DR134" s="1099"/>
      <c r="DS134" s="1099"/>
      <c r="DT134" s="1099"/>
      <c r="DU134" s="1099"/>
      <c r="DV134" s="1099"/>
      <c r="DW134" s="1099"/>
      <c r="DX134" s="1099"/>
      <c r="DY134" s="1099"/>
      <c r="DZ134" s="1099"/>
      <c r="EA134" s="1099"/>
      <c r="EB134" s="1099"/>
    </row>
    <row r="135" spans="2:132" ht="12.75" x14ac:dyDescent="0.2">
      <c r="B135" s="60" t="e">
        <f t="shared" si="76"/>
        <v>#DIV/0!</v>
      </c>
      <c r="I135" s="60" t="e">
        <f>IF($A$114=1,AI135,IF($A$114=2,BP135,IF($A$114=3,CP135,IF($A$114=4,DP135))))</f>
        <v>#DIV/0!</v>
      </c>
      <c r="AA135" s="1134"/>
      <c r="AB135" s="1108" t="s">
        <v>3978</v>
      </c>
      <c r="AC135" s="1124"/>
      <c r="AD135" s="1124"/>
      <c r="AE135" s="1124"/>
      <c r="AF135" s="1124"/>
      <c r="AG135" s="1097"/>
      <c r="AH135" s="1097"/>
      <c r="AI135" s="1108" t="s">
        <v>1667</v>
      </c>
      <c r="AJ135" s="1108"/>
      <c r="AK135" s="1124"/>
      <c r="AL135" s="1124"/>
      <c r="AM135" s="1124"/>
      <c r="AN135" s="1124"/>
      <c r="AO135" s="1124"/>
      <c r="AP135" s="1124"/>
      <c r="AQ135" s="1124"/>
      <c r="AR135" s="1124"/>
      <c r="AS135" s="1100"/>
      <c r="AT135" s="1100"/>
      <c r="AU135" s="1097"/>
      <c r="AV135" s="1097"/>
      <c r="AW135" s="1097" t="s">
        <v>1668</v>
      </c>
      <c r="BH135" s="1134"/>
      <c r="BI135" s="1109" t="s">
        <v>3978</v>
      </c>
      <c r="BJ135" s="1120"/>
      <c r="BK135" s="1120"/>
      <c r="BL135" s="1120"/>
      <c r="BM135" s="1120"/>
      <c r="BN135" s="1099"/>
      <c r="BO135" s="1099"/>
      <c r="BP135" s="1109" t="s">
        <v>1667</v>
      </c>
      <c r="BQ135" s="1120"/>
      <c r="BR135" s="1120"/>
      <c r="BS135" s="1120"/>
      <c r="BT135" s="1120"/>
      <c r="BU135" s="1100"/>
      <c r="BV135" s="1099"/>
      <c r="BW135" s="1099" t="s">
        <v>1668</v>
      </c>
      <c r="BX135" s="1149"/>
      <c r="BY135" s="1149"/>
      <c r="BZ135" s="1149"/>
      <c r="CA135" s="1149"/>
      <c r="CB135" s="1149"/>
      <c r="CH135" s="1134"/>
      <c r="CI135" s="1109" t="s">
        <v>3978</v>
      </c>
      <c r="CJ135" s="1120"/>
      <c r="CK135" s="1120"/>
      <c r="CL135" s="1120"/>
      <c r="CM135" s="1120"/>
      <c r="CN135" s="1099"/>
      <c r="CO135" s="1099"/>
      <c r="CP135" s="1109" t="s">
        <v>1667</v>
      </c>
      <c r="CQ135" s="1120"/>
      <c r="CR135" s="1120"/>
      <c r="CS135" s="1120"/>
      <c r="CT135" s="1120"/>
      <c r="CU135" s="1100"/>
      <c r="CV135" s="1099"/>
      <c r="CW135" s="1099" t="s">
        <v>1668</v>
      </c>
      <c r="CX135" s="1149"/>
      <c r="CY135" s="1149"/>
      <c r="CZ135" s="1149"/>
      <c r="DA135" s="1149"/>
      <c r="DB135" s="1149"/>
      <c r="DI135" s="1109" t="s">
        <v>3978</v>
      </c>
      <c r="DJ135" s="1120"/>
      <c r="DK135" s="1120"/>
      <c r="DL135" s="1120"/>
      <c r="DM135" s="1120"/>
      <c r="DN135" s="1099"/>
      <c r="DO135" s="1099"/>
      <c r="DP135" s="1109" t="s">
        <v>1667</v>
      </c>
      <c r="DQ135" s="1120"/>
      <c r="DR135" s="1120"/>
      <c r="DS135" s="1120"/>
      <c r="DT135" s="1120"/>
      <c r="DU135" s="1100"/>
      <c r="DV135" s="1099"/>
      <c r="DW135" s="1099" t="s">
        <v>1668</v>
      </c>
      <c r="DX135" s="1149"/>
      <c r="DY135" s="1149"/>
      <c r="DZ135" s="1149"/>
      <c r="EA135" s="1149"/>
      <c r="EB135" s="1149"/>
    </row>
    <row r="136" spans="2:132" x14ac:dyDescent="0.2">
      <c r="B136" s="60" t="e">
        <f t="shared" si="76"/>
        <v>#DIV/0!</v>
      </c>
      <c r="C136" s="60" t="e">
        <f t="shared" ref="C136:F141" si="95">IF($A$114=1,AC136,IF($A$114=2,BJ136,IF($A$114=3,CJ136,IF($A$114=4,DI136))))</f>
        <v>#DIV/0!</v>
      </c>
      <c r="D136" s="60" t="e">
        <f t="shared" si="95"/>
        <v>#DIV/0!</v>
      </c>
      <c r="E136" s="60" t="e">
        <f t="shared" si="95"/>
        <v>#DIV/0!</v>
      </c>
      <c r="F136" s="60" t="e">
        <f t="shared" si="95"/>
        <v>#DIV/0!</v>
      </c>
      <c r="I136" s="60" t="e">
        <f t="shared" ref="I136:I141" si="96">IF($A$114=1,AI136,IF($A$114=2,BP136,IF($A$114=3,CP136,IF($A$114=4,DP136))))</f>
        <v>#DIV/0!</v>
      </c>
      <c r="J136" s="60" t="e">
        <f t="shared" ref="J136:J141" si="97">IF($A$114=1,AK136,IF($A$114=2,BQ136,IF($A$114=3,CQ136,IF($A$114=4,DP136))))</f>
        <v>#DIV/0!</v>
      </c>
      <c r="K136" s="60" t="e">
        <f t="shared" ref="K136:K141" si="98">IF($A$114=1,AM136,IF($A$114=2,BR136,IF($A$114=3,CR136,IF($A$114=4,DQ136))))</f>
        <v>#DIV/0!</v>
      </c>
      <c r="L136" s="60" t="e">
        <f t="shared" ref="L136:L141" si="99">IF($A$114=1,AO136,IF($A$114=2,BS136,IF($A$114=3,CS136,IF($A$114=4,DR136))))</f>
        <v>#DIV/0!</v>
      </c>
      <c r="M136" s="60" t="e">
        <f t="shared" ref="M136:M141" si="100">IF($A$114=1,AQ136,IF($A$114=2,BT136,IF($A$114=3,CT136,IF($A$114=4,DS136))))</f>
        <v>#DIV/0!</v>
      </c>
      <c r="AA136" s="1117"/>
      <c r="AB136" s="1108" t="s">
        <v>3411</v>
      </c>
      <c r="AC136" s="1108" t="s">
        <v>2699</v>
      </c>
      <c r="AD136" s="1108" t="s">
        <v>2701</v>
      </c>
      <c r="AE136" s="1108" t="s">
        <v>2703</v>
      </c>
      <c r="AF136" s="1108" t="s">
        <v>2705</v>
      </c>
      <c r="AG136" s="1097"/>
      <c r="AH136" s="1097"/>
      <c r="AI136" s="1108" t="s">
        <v>3411</v>
      </c>
      <c r="AJ136" s="1108"/>
      <c r="AK136" s="1108" t="s">
        <v>2699</v>
      </c>
      <c r="AL136" s="1108"/>
      <c r="AM136" s="1108" t="s">
        <v>2701</v>
      </c>
      <c r="AN136" s="1108"/>
      <c r="AO136" s="1108" t="s">
        <v>2703</v>
      </c>
      <c r="AP136" s="1108"/>
      <c r="AQ136" s="1108" t="s">
        <v>2705</v>
      </c>
      <c r="AR136" s="1108"/>
      <c r="AS136" s="1133"/>
      <c r="AT136" s="1133"/>
      <c r="AU136" s="1097"/>
      <c r="AV136" s="1097"/>
      <c r="AW136" s="1150" t="s">
        <v>1669</v>
      </c>
      <c r="BH136" s="1117"/>
      <c r="BI136" s="1109" t="s">
        <v>3411</v>
      </c>
      <c r="BJ136" s="1109" t="s">
        <v>2699</v>
      </c>
      <c r="BK136" s="1109" t="s">
        <v>2701</v>
      </c>
      <c r="BL136" s="1109" t="s">
        <v>2703</v>
      </c>
      <c r="BM136" s="1109" t="s">
        <v>2705</v>
      </c>
      <c r="BN136" s="1099"/>
      <c r="BO136" s="1099"/>
      <c r="BP136" s="1109" t="s">
        <v>3411</v>
      </c>
      <c r="BQ136" s="1109" t="s">
        <v>2699</v>
      </c>
      <c r="BR136" s="1109" t="s">
        <v>2701</v>
      </c>
      <c r="BS136" s="1109" t="s">
        <v>2703</v>
      </c>
      <c r="BT136" s="1109" t="s">
        <v>2705</v>
      </c>
      <c r="BU136" s="1135"/>
      <c r="BV136" s="1099"/>
      <c r="BW136" s="1151" t="s">
        <v>1669</v>
      </c>
      <c r="BX136" s="1149"/>
      <c r="BY136" s="1149"/>
      <c r="BZ136" s="1149"/>
      <c r="CA136" s="1149"/>
      <c r="CB136" s="1149"/>
      <c r="CH136" s="1117"/>
      <c r="CI136" s="1109" t="s">
        <v>3411</v>
      </c>
      <c r="CJ136" s="1109" t="s">
        <v>2699</v>
      </c>
      <c r="CK136" s="1109" t="s">
        <v>2701</v>
      </c>
      <c r="CL136" s="1109" t="s">
        <v>2703</v>
      </c>
      <c r="CM136" s="1109" t="s">
        <v>2705</v>
      </c>
      <c r="CN136" s="1099"/>
      <c r="CO136" s="1099"/>
      <c r="CP136" s="1109" t="s">
        <v>3411</v>
      </c>
      <c r="CQ136" s="1109" t="s">
        <v>2699</v>
      </c>
      <c r="CR136" s="1109" t="s">
        <v>2701</v>
      </c>
      <c r="CS136" s="1109" t="s">
        <v>2703</v>
      </c>
      <c r="CT136" s="1109" t="s">
        <v>2705</v>
      </c>
      <c r="CU136" s="1135"/>
      <c r="CV136" s="1099"/>
      <c r="CW136" s="1151" t="s">
        <v>1669</v>
      </c>
      <c r="CX136" s="1149"/>
      <c r="CY136" s="1149"/>
      <c r="CZ136" s="1149"/>
      <c r="DA136" s="1149"/>
      <c r="DB136" s="1149"/>
      <c r="DI136" s="1109" t="s">
        <v>3411</v>
      </c>
      <c r="DJ136" s="1109" t="s">
        <v>2699</v>
      </c>
      <c r="DK136" s="1109" t="s">
        <v>2701</v>
      </c>
      <c r="DL136" s="1109" t="s">
        <v>2703</v>
      </c>
      <c r="DM136" s="1109" t="s">
        <v>2705</v>
      </c>
      <c r="DN136" s="1099"/>
      <c r="DO136" s="1099"/>
      <c r="DP136" s="1109" t="s">
        <v>3411</v>
      </c>
      <c r="DQ136" s="1109" t="s">
        <v>2699</v>
      </c>
      <c r="DR136" s="1109" t="s">
        <v>2701</v>
      </c>
      <c r="DS136" s="1109" t="s">
        <v>2703</v>
      </c>
      <c r="DT136" s="1109" t="s">
        <v>2705</v>
      </c>
      <c r="DU136" s="1135"/>
      <c r="DV136" s="1099"/>
      <c r="DW136" s="1151" t="s">
        <v>1669</v>
      </c>
      <c r="DX136" s="1149"/>
      <c r="DY136" s="1149"/>
      <c r="DZ136" s="1149"/>
      <c r="EA136" s="1149"/>
      <c r="EB136" s="1149"/>
    </row>
    <row r="137" spans="2:132" x14ac:dyDescent="0.2">
      <c r="B137" s="60" t="e">
        <f t="shared" si="76"/>
        <v>#DIV/0!</v>
      </c>
      <c r="C137" s="60" t="e">
        <f t="shared" si="95"/>
        <v>#DIV/0!</v>
      </c>
      <c r="D137" s="60" t="e">
        <f t="shared" si="95"/>
        <v>#DIV/0!</v>
      </c>
      <c r="E137" s="60" t="e">
        <f t="shared" si="95"/>
        <v>#DIV/0!</v>
      </c>
      <c r="F137" s="60" t="e">
        <f t="shared" si="95"/>
        <v>#DIV/0!</v>
      </c>
      <c r="I137" s="60" t="e">
        <f t="shared" si="96"/>
        <v>#DIV/0!</v>
      </c>
      <c r="J137" s="60" t="e">
        <f t="shared" si="97"/>
        <v>#DIV/0!</v>
      </c>
      <c r="K137" s="60" t="e">
        <f t="shared" si="98"/>
        <v>#DIV/0!</v>
      </c>
      <c r="L137" s="60" t="e">
        <f t="shared" si="99"/>
        <v>#DIV/0!</v>
      </c>
      <c r="M137" s="60" t="e">
        <f t="shared" si="100"/>
        <v>#DIV/0!</v>
      </c>
      <c r="AA137" s="1117"/>
      <c r="AB137" s="1144" t="s">
        <v>3970</v>
      </c>
      <c r="AC137" s="1152">
        <v>0.85544277063751128</v>
      </c>
      <c r="AD137" s="1152">
        <v>0.77791072682411955</v>
      </c>
      <c r="AE137" s="1152">
        <v>0.73407694456081563</v>
      </c>
      <c r="AF137" s="1152">
        <v>0.68809489696014514</v>
      </c>
      <c r="AG137" s="1097"/>
      <c r="AH137" s="1097"/>
      <c r="AI137" s="1144" t="s">
        <v>3970</v>
      </c>
      <c r="AJ137" s="1144"/>
      <c r="AK137" s="1152">
        <v>0.8554347911583905</v>
      </c>
      <c r="AL137" s="1152"/>
      <c r="AM137" s="1152">
        <v>0.78612903225806452</v>
      </c>
      <c r="AN137" s="1152"/>
      <c r="AO137" s="1152">
        <v>0.73762544651910922</v>
      </c>
      <c r="AP137" s="1152"/>
      <c r="AQ137" s="1152">
        <v>0.7047408778109252</v>
      </c>
      <c r="AR137" s="1152"/>
      <c r="AS137" s="1133"/>
      <c r="AT137" s="1133"/>
      <c r="AU137" s="1097"/>
      <c r="AV137" s="1097"/>
      <c r="AW137" s="1096"/>
      <c r="AX137" s="1097"/>
      <c r="AY137" s="1117"/>
      <c r="AZ137" s="1117"/>
      <c r="BA137" s="1117"/>
      <c r="BB137" s="1097"/>
      <c r="BH137" s="1117"/>
      <c r="BI137" s="1146" t="s">
        <v>3970</v>
      </c>
      <c r="BJ137" s="1152">
        <v>0.85736763433246788</v>
      </c>
      <c r="BK137" s="1152">
        <v>0.77952428328625334</v>
      </c>
      <c r="BL137" s="1152">
        <v>0.72415401199850027</v>
      </c>
      <c r="BM137" s="1152">
        <v>0.68505647107692536</v>
      </c>
      <c r="BN137" s="1099"/>
      <c r="BO137" s="1099"/>
      <c r="BP137" s="1146" t="s">
        <v>3970</v>
      </c>
      <c r="BQ137" s="1152">
        <v>0.84419298117982111</v>
      </c>
      <c r="BR137" s="1152">
        <v>0.77528061387084501</v>
      </c>
      <c r="BS137" s="1152">
        <v>0.73037882858072944</v>
      </c>
      <c r="BT137" s="1152">
        <v>0.68874761695734255</v>
      </c>
      <c r="BU137" s="1135"/>
      <c r="BV137" s="1099"/>
      <c r="BW137" s="1098"/>
      <c r="BX137" s="1099"/>
      <c r="BY137" s="1119"/>
      <c r="BZ137" s="1119"/>
      <c r="CA137" s="1119"/>
      <c r="CB137" s="1099"/>
      <c r="CH137" s="1117"/>
      <c r="CI137" s="1146" t="s">
        <v>3970</v>
      </c>
      <c r="CJ137" s="1152">
        <v>0.85038721083524726</v>
      </c>
      <c r="CK137" s="1152">
        <v>0.78060942144640277</v>
      </c>
      <c r="CL137" s="1152">
        <v>0.72547812471951789</v>
      </c>
      <c r="CM137" s="1152">
        <v>0.68542602434268418</v>
      </c>
      <c r="CN137" s="1099"/>
      <c r="CO137" s="1099"/>
      <c r="CP137" s="1146" t="s">
        <v>3970</v>
      </c>
      <c r="CQ137" s="1152">
        <v>0.7705760400586581</v>
      </c>
      <c r="CR137" s="1152">
        <v>0.77323753347982871</v>
      </c>
      <c r="CS137" s="1152">
        <v>0.73409270379941383</v>
      </c>
      <c r="CT137" s="1152">
        <v>0.69581660594984918</v>
      </c>
      <c r="CU137" s="1135"/>
      <c r="CV137" s="1099"/>
      <c r="CW137" s="1098"/>
      <c r="CX137" s="1099"/>
      <c r="CY137" s="1119"/>
      <c r="CZ137" s="1119"/>
      <c r="DA137" s="1119"/>
      <c r="DB137" s="1099"/>
      <c r="DI137" s="1146" t="s">
        <v>3970</v>
      </c>
      <c r="DJ137" s="1152">
        <v>0.84340678733802676</v>
      </c>
      <c r="DK137" s="1152">
        <v>0.7816945596065521</v>
      </c>
      <c r="DL137" s="1152">
        <v>0.7268022374405354</v>
      </c>
      <c r="DM137" s="1152">
        <v>0.68579557760844301</v>
      </c>
      <c r="DN137" s="1099"/>
      <c r="DO137" s="1099"/>
      <c r="DP137" s="1146" t="s">
        <v>3970</v>
      </c>
      <c r="DQ137" s="1152">
        <v>0.68378444578484843</v>
      </c>
      <c r="DR137" s="1152">
        <v>0.7711944530888124</v>
      </c>
      <c r="DS137" s="1152">
        <v>0.73780657901809832</v>
      </c>
      <c r="DT137" s="1152">
        <v>0.70288559494235581</v>
      </c>
      <c r="DU137" s="1135"/>
      <c r="DV137" s="1099"/>
      <c r="DW137" s="1098"/>
      <c r="DX137" s="1099"/>
      <c r="DY137" s="1119"/>
      <c r="DZ137" s="1119"/>
      <c r="EA137" s="1119"/>
      <c r="EB137" s="1099"/>
    </row>
    <row r="138" spans="2:132" x14ac:dyDescent="0.2">
      <c r="B138" s="60" t="e">
        <f t="shared" si="76"/>
        <v>#DIV/0!</v>
      </c>
      <c r="C138" s="60" t="e">
        <f t="shared" si="95"/>
        <v>#DIV/0!</v>
      </c>
      <c r="D138" s="60" t="e">
        <f t="shared" si="95"/>
        <v>#DIV/0!</v>
      </c>
      <c r="E138" s="60" t="e">
        <f t="shared" si="95"/>
        <v>#DIV/0!</v>
      </c>
      <c r="F138" s="60" t="e">
        <f t="shared" si="95"/>
        <v>#DIV/0!</v>
      </c>
      <c r="I138" s="60" t="e">
        <f t="shared" si="96"/>
        <v>#DIV/0!</v>
      </c>
      <c r="J138" s="60" t="e">
        <f t="shared" si="97"/>
        <v>#DIV/0!</v>
      </c>
      <c r="K138" s="60" t="e">
        <f t="shared" si="98"/>
        <v>#DIV/0!</v>
      </c>
      <c r="L138" s="60" t="e">
        <f t="shared" si="99"/>
        <v>#DIV/0!</v>
      </c>
      <c r="M138" s="60" t="e">
        <f t="shared" si="100"/>
        <v>#DIV/0!</v>
      </c>
      <c r="AA138" s="1117"/>
      <c r="AB138" s="1144" t="s">
        <v>3972</v>
      </c>
      <c r="AC138" s="1152">
        <v>0.92746008160728322</v>
      </c>
      <c r="AD138" s="1152">
        <v>0.88819083741817595</v>
      </c>
      <c r="AE138" s="1152">
        <v>0.86330121491411826</v>
      </c>
      <c r="AF138" s="1152">
        <v>0.84331324047636114</v>
      </c>
      <c r="AG138" s="1097"/>
      <c r="AH138" s="1097"/>
      <c r="AI138" s="1144" t="s">
        <v>3972</v>
      </c>
      <c r="AJ138" s="1144"/>
      <c r="AK138" s="1152">
        <v>0.931964573693846</v>
      </c>
      <c r="AL138" s="1152"/>
      <c r="AM138" s="1152">
        <v>0.89552530689695242</v>
      </c>
      <c r="AN138" s="1152"/>
      <c r="AO138" s="1152">
        <v>0.86782441332387616</v>
      </c>
      <c r="AP138" s="1152"/>
      <c r="AQ138" s="1152">
        <v>0.85250215815529029</v>
      </c>
      <c r="AR138" s="1152"/>
      <c r="AS138" s="1097"/>
      <c r="AT138" s="1097"/>
      <c r="AU138" s="1097"/>
      <c r="AV138" s="1097"/>
      <c r="AW138" s="1097" t="s">
        <v>1670</v>
      </c>
      <c r="AX138" s="1117"/>
      <c r="AY138" s="1117"/>
      <c r="AZ138" s="1117"/>
      <c r="BA138" s="1117"/>
      <c r="BB138" s="1117"/>
      <c r="BH138" s="1117"/>
      <c r="BI138" s="1146" t="s">
        <v>3972</v>
      </c>
      <c r="BJ138" s="1152">
        <v>0.93525562017419472</v>
      </c>
      <c r="BK138" s="1152">
        <v>0.88716607150259685</v>
      </c>
      <c r="BL138" s="1152">
        <v>0.86153137107861522</v>
      </c>
      <c r="BM138" s="1152">
        <v>0.84451236252258965</v>
      </c>
      <c r="BN138" s="1099"/>
      <c r="BO138" s="1099"/>
      <c r="BP138" s="1146" t="s">
        <v>3972</v>
      </c>
      <c r="BQ138" s="1152">
        <v>0.92458080356212213</v>
      </c>
      <c r="BR138" s="1152">
        <v>0.88961496222577063</v>
      </c>
      <c r="BS138" s="1152">
        <v>0.86694748155061541</v>
      </c>
      <c r="BT138" s="1152">
        <v>0.84134709092141935</v>
      </c>
      <c r="BU138" s="1099"/>
      <c r="BV138" s="1099"/>
      <c r="BW138" s="1099" t="s">
        <v>1670</v>
      </c>
      <c r="BX138" s="1119"/>
      <c r="BY138" s="1119"/>
      <c r="BZ138" s="1119"/>
      <c r="CA138" s="1119"/>
      <c r="CB138" s="1119"/>
      <c r="CH138" s="1117"/>
      <c r="CI138" s="1146" t="s">
        <v>3972</v>
      </c>
      <c r="CJ138" s="1152">
        <v>0.92703100183826892</v>
      </c>
      <c r="CK138" s="1152">
        <v>0.88813862009738087</v>
      </c>
      <c r="CL138" s="1152">
        <v>0.86138399381719033</v>
      </c>
      <c r="CM138" s="1152">
        <v>0.84393889534166977</v>
      </c>
      <c r="CN138" s="1099"/>
      <c r="CO138" s="1099"/>
      <c r="CP138" s="1146" t="s">
        <v>3972</v>
      </c>
      <c r="CQ138" s="1152">
        <v>0.92342715832957312</v>
      </c>
      <c r="CR138" s="1152">
        <v>0.88735955872253447</v>
      </c>
      <c r="CS138" s="1152">
        <v>0.86237587738598442</v>
      </c>
      <c r="CT138" s="1152">
        <v>0.84168479926876238</v>
      </c>
      <c r="CU138" s="1099"/>
      <c r="CV138" s="1099"/>
      <c r="CW138" s="1099" t="s">
        <v>1670</v>
      </c>
      <c r="CX138" s="1119"/>
      <c r="CY138" s="1119"/>
      <c r="CZ138" s="1119"/>
      <c r="DA138" s="1119"/>
      <c r="DB138" s="1119"/>
      <c r="DI138" s="1146" t="s">
        <v>3972</v>
      </c>
      <c r="DJ138" s="1152">
        <v>0.91880638350234312</v>
      </c>
      <c r="DK138" s="1152">
        <v>0.88911116869216489</v>
      </c>
      <c r="DL138" s="1152">
        <v>0.86123661655576556</v>
      </c>
      <c r="DM138" s="1152">
        <v>0.84336542816074989</v>
      </c>
      <c r="DN138" s="1099"/>
      <c r="DO138" s="1099"/>
      <c r="DP138" s="1146" t="s">
        <v>3972</v>
      </c>
      <c r="DQ138" s="1152">
        <v>0.9222735130970241</v>
      </c>
      <c r="DR138" s="1152">
        <v>0.88510415521929819</v>
      </c>
      <c r="DS138" s="1152">
        <v>0.85780427322135355</v>
      </c>
      <c r="DT138" s="1152">
        <v>0.84202250761610542</v>
      </c>
      <c r="DU138" s="1099"/>
      <c r="DV138" s="1099"/>
      <c r="DW138" s="1099" t="s">
        <v>1670</v>
      </c>
      <c r="DX138" s="1119"/>
      <c r="DY138" s="1119"/>
      <c r="DZ138" s="1119"/>
      <c r="EA138" s="1119"/>
      <c r="EB138" s="1119"/>
    </row>
    <row r="139" spans="2:132" x14ac:dyDescent="0.2">
      <c r="B139" s="60" t="e">
        <f t="shared" si="76"/>
        <v>#DIV/0!</v>
      </c>
      <c r="C139" s="60" t="e">
        <f t="shared" si="95"/>
        <v>#DIV/0!</v>
      </c>
      <c r="D139" s="60" t="e">
        <f t="shared" si="95"/>
        <v>#DIV/0!</v>
      </c>
      <c r="E139" s="60" t="e">
        <f t="shared" si="95"/>
        <v>#DIV/0!</v>
      </c>
      <c r="F139" s="60" t="e">
        <f t="shared" si="95"/>
        <v>#DIV/0!</v>
      </c>
      <c r="I139" s="60" t="e">
        <f t="shared" si="96"/>
        <v>#DIV/0!</v>
      </c>
      <c r="J139" s="60" t="e">
        <f t="shared" si="97"/>
        <v>#DIV/0!</v>
      </c>
      <c r="K139" s="60" t="e">
        <f t="shared" si="98"/>
        <v>#DIV/0!</v>
      </c>
      <c r="L139" s="60" t="e">
        <f t="shared" si="99"/>
        <v>#DIV/0!</v>
      </c>
      <c r="M139" s="60" t="e">
        <f t="shared" si="100"/>
        <v>#DIV/0!</v>
      </c>
      <c r="AA139" s="1117"/>
      <c r="AB139" s="1144" t="s">
        <v>3974</v>
      </c>
      <c r="AC139" s="1152">
        <v>1</v>
      </c>
      <c r="AD139" s="1152">
        <v>1</v>
      </c>
      <c r="AE139" s="1152">
        <v>1</v>
      </c>
      <c r="AF139" s="1152">
        <v>1</v>
      </c>
      <c r="AG139" s="1097"/>
      <c r="AH139" s="1097"/>
      <c r="AI139" s="1144" t="s">
        <v>3974</v>
      </c>
      <c r="AJ139" s="1144"/>
      <c r="AK139" s="1152">
        <v>1</v>
      </c>
      <c r="AL139" s="1152"/>
      <c r="AM139" s="1152">
        <v>1</v>
      </c>
      <c r="AN139" s="1152"/>
      <c r="AO139" s="1152">
        <v>1</v>
      </c>
      <c r="AP139" s="1152"/>
      <c r="AQ139" s="1152">
        <v>1</v>
      </c>
      <c r="AR139" s="1152"/>
      <c r="AS139" s="1097"/>
      <c r="AT139" s="1097"/>
      <c r="AU139" s="1097"/>
      <c r="AV139" s="1097"/>
      <c r="AW139" s="1099" t="s">
        <v>1671</v>
      </c>
      <c r="AX139" s="1117"/>
      <c r="AY139" s="1117"/>
      <c r="AZ139" s="1117"/>
      <c r="BA139" s="1117"/>
      <c r="BB139" s="1117"/>
      <c r="BH139" s="1117"/>
      <c r="BI139" s="1146" t="s">
        <v>3974</v>
      </c>
      <c r="BJ139" s="1152">
        <v>1</v>
      </c>
      <c r="BK139" s="1152">
        <v>1</v>
      </c>
      <c r="BL139" s="1152">
        <v>1</v>
      </c>
      <c r="BM139" s="1152">
        <v>1</v>
      </c>
      <c r="BN139" s="1099"/>
      <c r="BO139" s="1099"/>
      <c r="BP139" s="1146" t="s">
        <v>3974</v>
      </c>
      <c r="BQ139" s="1152">
        <v>1</v>
      </c>
      <c r="BR139" s="1152">
        <v>1</v>
      </c>
      <c r="BS139" s="1152">
        <v>1</v>
      </c>
      <c r="BT139" s="1152">
        <v>1</v>
      </c>
      <c r="BU139" s="1099"/>
      <c r="BV139" s="1099"/>
      <c r="BW139" s="1099" t="s">
        <v>1671</v>
      </c>
      <c r="BX139" s="1119"/>
      <c r="BY139" s="1119"/>
      <c r="BZ139" s="1119"/>
      <c r="CA139" s="1119"/>
      <c r="CB139" s="1119"/>
      <c r="CH139" s="1117"/>
      <c r="CI139" s="1146" t="s">
        <v>3974</v>
      </c>
      <c r="CJ139" s="1152">
        <v>1</v>
      </c>
      <c r="CK139" s="1152">
        <v>1</v>
      </c>
      <c r="CL139" s="1152">
        <v>1</v>
      </c>
      <c r="CM139" s="1152">
        <v>1</v>
      </c>
      <c r="CN139" s="1099"/>
      <c r="CO139" s="1099"/>
      <c r="CP139" s="1146" t="s">
        <v>3974</v>
      </c>
      <c r="CQ139" s="1152">
        <v>1</v>
      </c>
      <c r="CR139" s="1152">
        <v>1</v>
      </c>
      <c r="CS139" s="1152">
        <v>1</v>
      </c>
      <c r="CT139" s="1152">
        <v>1</v>
      </c>
      <c r="CU139" s="1099"/>
      <c r="CV139" s="1099"/>
      <c r="CW139" s="1099" t="s">
        <v>227</v>
      </c>
      <c r="CX139" s="1119"/>
      <c r="CY139" s="1119"/>
      <c r="CZ139" s="1119"/>
      <c r="DA139" s="1119"/>
      <c r="DB139" s="1119"/>
      <c r="DI139" s="1146" t="s">
        <v>3974</v>
      </c>
      <c r="DJ139" s="1152">
        <v>1</v>
      </c>
      <c r="DK139" s="1152">
        <v>1</v>
      </c>
      <c r="DL139" s="1152">
        <v>1</v>
      </c>
      <c r="DM139" s="1152">
        <v>1</v>
      </c>
      <c r="DN139" s="1099"/>
      <c r="DO139" s="1099"/>
      <c r="DP139" s="1146" t="s">
        <v>3974</v>
      </c>
      <c r="DQ139" s="1152">
        <v>1</v>
      </c>
      <c r="DR139" s="1152">
        <v>1</v>
      </c>
      <c r="DS139" s="1152">
        <v>1</v>
      </c>
      <c r="DT139" s="1152">
        <v>1</v>
      </c>
      <c r="DU139" s="1099"/>
      <c r="DV139" s="1099"/>
      <c r="DW139" s="1099" t="s">
        <v>1671</v>
      </c>
      <c r="DX139" s="1119"/>
      <c r="DY139" s="1119"/>
      <c r="DZ139" s="1119"/>
      <c r="EA139" s="1119"/>
      <c r="EB139" s="1119"/>
    </row>
    <row r="140" spans="2:132" x14ac:dyDescent="0.2">
      <c r="B140" s="60" t="e">
        <f t="shared" si="76"/>
        <v>#DIV/0!</v>
      </c>
      <c r="C140" s="60" t="e">
        <f t="shared" si="95"/>
        <v>#DIV/0!</v>
      </c>
      <c r="D140" s="60" t="e">
        <f t="shared" si="95"/>
        <v>#DIV/0!</v>
      </c>
      <c r="E140" s="60" t="e">
        <f t="shared" si="95"/>
        <v>#DIV/0!</v>
      </c>
      <c r="F140" s="60" t="e">
        <f t="shared" si="95"/>
        <v>#DIV/0!</v>
      </c>
      <c r="I140" s="60" t="e">
        <f t="shared" si="96"/>
        <v>#DIV/0!</v>
      </c>
      <c r="J140" s="60" t="e">
        <f t="shared" si="97"/>
        <v>#DIV/0!</v>
      </c>
      <c r="K140" s="60" t="e">
        <f t="shared" si="98"/>
        <v>#DIV/0!</v>
      </c>
      <c r="L140" s="60" t="e">
        <f t="shared" si="99"/>
        <v>#DIV/0!</v>
      </c>
      <c r="M140" s="60" t="e">
        <f t="shared" si="100"/>
        <v>#DIV/0!</v>
      </c>
      <c r="AA140" s="1117"/>
      <c r="AB140" s="1144" t="s">
        <v>3976</v>
      </c>
      <c r="AC140" s="1152">
        <v>1.2213920746094902</v>
      </c>
      <c r="AD140" s="1152">
        <v>1.3111215799123883</v>
      </c>
      <c r="AE140" s="1152">
        <v>1.3971931294511941</v>
      </c>
      <c r="AF140" s="1152">
        <v>1.4535377414810038</v>
      </c>
      <c r="AG140" s="1097"/>
      <c r="AH140" s="1097"/>
      <c r="AI140" s="1144" t="s">
        <v>3976</v>
      </c>
      <c r="AJ140" s="1144"/>
      <c r="AK140" s="1152">
        <v>1.271132150934039</v>
      </c>
      <c r="AL140" s="1152"/>
      <c r="AM140" s="1152">
        <v>1.3792763040700149</v>
      </c>
      <c r="AN140" s="1152"/>
      <c r="AO140" s="1152">
        <v>1.4689329717901147</v>
      </c>
      <c r="AP140" s="1152"/>
      <c r="AQ140" s="1152">
        <v>1.5382130278217427</v>
      </c>
      <c r="AR140" s="1152"/>
      <c r="AS140" s="1097"/>
      <c r="AT140" s="1097"/>
      <c r="AU140" s="1097"/>
      <c r="AV140" s="1097"/>
      <c r="AW140" s="1097" t="s">
        <v>1672</v>
      </c>
      <c r="AX140" s="1117"/>
      <c r="AY140" s="1117"/>
      <c r="AZ140" s="1117"/>
      <c r="BA140" s="1117"/>
      <c r="BB140" s="1117"/>
      <c r="BH140" s="1117"/>
      <c r="BI140" s="1146" t="s">
        <v>3976</v>
      </c>
      <c r="BJ140" s="1152">
        <v>1.2414659353531194</v>
      </c>
      <c r="BK140" s="1152">
        <v>1.3436791206969048</v>
      </c>
      <c r="BL140" s="1152">
        <v>1.3890427759030122</v>
      </c>
      <c r="BM140" s="1152">
        <v>1.4597606275678165</v>
      </c>
      <c r="BN140" s="1099"/>
      <c r="BO140" s="1099"/>
      <c r="BP140" s="1146" t="s">
        <v>3976</v>
      </c>
      <c r="BQ140" s="1152">
        <v>1.2663408095863493</v>
      </c>
      <c r="BR140" s="1152">
        <v>1.4043693025618045</v>
      </c>
      <c r="BS140" s="1152">
        <v>1.4830737447613891</v>
      </c>
      <c r="BT140" s="1152">
        <v>1.561068124150188</v>
      </c>
      <c r="BU140" s="1099"/>
      <c r="BV140" s="1099"/>
      <c r="BW140" s="1099" t="s">
        <v>1672</v>
      </c>
      <c r="BX140" s="1119"/>
      <c r="BY140" s="1119"/>
      <c r="BZ140" s="1119"/>
      <c r="CA140" s="1119"/>
      <c r="CB140" s="1119"/>
      <c r="CH140" s="1117"/>
      <c r="CI140" s="1146" t="s">
        <v>3976</v>
      </c>
      <c r="CJ140" s="1152">
        <v>1.2382369995110598</v>
      </c>
      <c r="CK140" s="1152">
        <v>1.3414462478797833</v>
      </c>
      <c r="CL140" s="1152">
        <v>1.3998389602903551</v>
      </c>
      <c r="CM140" s="1152">
        <v>1.4670541968642241</v>
      </c>
      <c r="CN140" s="1099"/>
      <c r="CO140" s="1099"/>
      <c r="CP140" s="1146" t="s">
        <v>3976</v>
      </c>
      <c r="CQ140" s="1152">
        <v>1.2897250541061662</v>
      </c>
      <c r="CR140" s="1152">
        <v>1.4113470479721464</v>
      </c>
      <c r="CS140" s="1152">
        <v>1.4898343668425387</v>
      </c>
      <c r="CT140" s="1152">
        <v>1.5602157898386633</v>
      </c>
      <c r="CU140" s="1099"/>
      <c r="CV140" s="1099"/>
      <c r="CW140" s="1099" t="s">
        <v>1672</v>
      </c>
      <c r="CX140" s="1119"/>
      <c r="CY140" s="1119"/>
      <c r="CZ140" s="1119"/>
      <c r="DA140" s="1119"/>
      <c r="DB140" s="1119"/>
      <c r="DI140" s="1146" t="s">
        <v>3976</v>
      </c>
      <c r="DJ140" s="1152">
        <v>1.2350080636690004</v>
      </c>
      <c r="DK140" s="1152">
        <v>1.3392133750626616</v>
      </c>
      <c r="DL140" s="1152">
        <v>1.4106351446776981</v>
      </c>
      <c r="DM140" s="1152">
        <v>1.4743477661606317</v>
      </c>
      <c r="DN140" s="1099"/>
      <c r="DO140" s="1099"/>
      <c r="DP140" s="1146" t="s">
        <v>3976</v>
      </c>
      <c r="DQ140" s="1152">
        <v>1.3131092986259831</v>
      </c>
      <c r="DR140" s="1152">
        <v>1.4183247933824881</v>
      </c>
      <c r="DS140" s="1152">
        <v>1.4965949889236883</v>
      </c>
      <c r="DT140" s="1152">
        <v>1.5593634555271383</v>
      </c>
      <c r="DU140" s="1099"/>
      <c r="DV140" s="1099"/>
      <c r="DW140" s="1099" t="s">
        <v>1672</v>
      </c>
      <c r="DX140" s="1119"/>
      <c r="DY140" s="1119"/>
      <c r="DZ140" s="1119"/>
      <c r="EA140" s="1119"/>
      <c r="EB140" s="1119"/>
    </row>
    <row r="141" spans="2:132" x14ac:dyDescent="0.2">
      <c r="B141" s="60" t="e">
        <f t="shared" si="76"/>
        <v>#DIV/0!</v>
      </c>
      <c r="C141" s="60" t="e">
        <f t="shared" si="95"/>
        <v>#DIV/0!</v>
      </c>
      <c r="D141" s="60" t="e">
        <f t="shared" si="95"/>
        <v>#DIV/0!</v>
      </c>
      <c r="E141" s="60" t="e">
        <f t="shared" si="95"/>
        <v>#DIV/0!</v>
      </c>
      <c r="F141" s="60" t="e">
        <f t="shared" si="95"/>
        <v>#DIV/0!</v>
      </c>
      <c r="I141" s="60" t="e">
        <f t="shared" si="96"/>
        <v>#DIV/0!</v>
      </c>
      <c r="J141" s="60" t="e">
        <f t="shared" si="97"/>
        <v>#DIV/0!</v>
      </c>
      <c r="K141" s="60" t="e">
        <f t="shared" si="98"/>
        <v>#DIV/0!</v>
      </c>
      <c r="L141" s="60" t="e">
        <f t="shared" si="99"/>
        <v>#DIV/0!</v>
      </c>
      <c r="M141" s="60" t="e">
        <f t="shared" si="100"/>
        <v>#DIV/0!</v>
      </c>
      <c r="AA141" s="1117"/>
      <c r="AB141" s="1144" t="s">
        <v>3977</v>
      </c>
      <c r="AC141" s="1152">
        <v>1.4350691861490807</v>
      </c>
      <c r="AD141" s="1152">
        <v>1.6216726180382963</v>
      </c>
      <c r="AE141" s="1152">
        <v>1.7820503421309875</v>
      </c>
      <c r="AF141" s="1152">
        <v>1.9036056273644926</v>
      </c>
      <c r="AG141" s="1097"/>
      <c r="AH141" s="1097"/>
      <c r="AI141" s="1144" t="s">
        <v>3977</v>
      </c>
      <c r="AJ141" s="1144"/>
      <c r="AK141" s="1152">
        <v>1.5492619965873935</v>
      </c>
      <c r="AL141" s="1152"/>
      <c r="AM141" s="1152">
        <v>1.7568218255043953</v>
      </c>
      <c r="AN141" s="1152"/>
      <c r="AO141" s="1152">
        <v>1.9218640721970472</v>
      </c>
      <c r="AP141" s="1152"/>
      <c r="AQ141" s="1152">
        <v>2.0655778956761917</v>
      </c>
      <c r="AR141" s="1152"/>
      <c r="AS141" s="1097"/>
      <c r="AT141" s="1097"/>
      <c r="AU141" s="1097"/>
      <c r="AV141" s="1097"/>
      <c r="AW141" s="1104" t="s">
        <v>204</v>
      </c>
      <c r="AX141" s="1117"/>
      <c r="AY141" s="1117"/>
      <c r="AZ141" s="1117"/>
      <c r="BA141" s="1117"/>
      <c r="BB141" s="1117"/>
      <c r="BH141" s="1117"/>
      <c r="BI141" s="1146" t="s">
        <v>3977</v>
      </c>
      <c r="BJ141" s="1152">
        <v>1.4877254844212597</v>
      </c>
      <c r="BK141" s="1152">
        <v>1.6914607280544354</v>
      </c>
      <c r="BL141" s="1152">
        <v>1.8048907949006372</v>
      </c>
      <c r="BM141" s="1152">
        <v>1.9396245288108727</v>
      </c>
      <c r="BN141" s="1099"/>
      <c r="BO141" s="1099"/>
      <c r="BP141" s="1146" t="s">
        <v>3977</v>
      </c>
      <c r="BQ141" s="1152">
        <v>1.5266353628086513</v>
      </c>
      <c r="BR141" s="1152">
        <v>1.7736106967293648</v>
      </c>
      <c r="BS141" s="1152">
        <v>1.942099065037673</v>
      </c>
      <c r="BT141" s="1152">
        <v>2.1011623395394152</v>
      </c>
      <c r="BU141" s="1099"/>
      <c r="BV141" s="1099"/>
      <c r="BW141" s="1105" t="s">
        <v>204</v>
      </c>
      <c r="BX141" s="1119"/>
      <c r="BY141" s="1119"/>
      <c r="BZ141" s="1119"/>
      <c r="CA141" s="1119"/>
      <c r="CB141" s="1119"/>
      <c r="CH141" s="1117"/>
      <c r="CI141" s="1146" t="s">
        <v>3977</v>
      </c>
      <c r="CJ141" s="1152">
        <v>1.4816160858760949</v>
      </c>
      <c r="CK141" s="1152">
        <v>1.6849437390898796</v>
      </c>
      <c r="CL141" s="1152">
        <v>1.81674654579402</v>
      </c>
      <c r="CM141" s="1152">
        <v>1.9487428962600446</v>
      </c>
      <c r="CN141" s="1099"/>
      <c r="CO141" s="1099"/>
      <c r="CP141" s="1146" t="s">
        <v>3977</v>
      </c>
      <c r="CQ141" s="1152">
        <v>1.5828450062334523</v>
      </c>
      <c r="CR141" s="1152">
        <v>1.8203049034792897</v>
      </c>
      <c r="CS141" s="1152">
        <v>1.9792440229377561</v>
      </c>
      <c r="CT141" s="1152">
        <v>2.1208617816248596</v>
      </c>
      <c r="CU141" s="1099"/>
      <c r="CV141" s="1099"/>
      <c r="CW141" s="1105" t="s">
        <v>204</v>
      </c>
      <c r="CX141" s="1119"/>
      <c r="CY141" s="1119"/>
      <c r="CZ141" s="1119"/>
      <c r="DA141" s="1119"/>
      <c r="DB141" s="1119"/>
      <c r="DI141" s="1146" t="s">
        <v>3977</v>
      </c>
      <c r="DJ141" s="1152">
        <v>1.4755066873309304</v>
      </c>
      <c r="DK141" s="1152">
        <v>1.6784267501253236</v>
      </c>
      <c r="DL141" s="1152">
        <v>1.8286022966874029</v>
      </c>
      <c r="DM141" s="1152">
        <v>1.9578612637092168</v>
      </c>
      <c r="DN141" s="1099"/>
      <c r="DO141" s="1099"/>
      <c r="DP141" s="1146" t="s">
        <v>3977</v>
      </c>
      <c r="DQ141" s="1152">
        <v>1.6390546496582534</v>
      </c>
      <c r="DR141" s="1152">
        <v>1.8669991102292145</v>
      </c>
      <c r="DS141" s="1152">
        <v>2.016388980837839</v>
      </c>
      <c r="DT141" s="1152">
        <v>2.140561223710304</v>
      </c>
      <c r="DU141" s="1099"/>
      <c r="DV141" s="1099"/>
      <c r="DW141" s="1105" t="s">
        <v>204</v>
      </c>
      <c r="DX141" s="1119"/>
      <c r="DY141" s="1119"/>
      <c r="DZ141" s="1119"/>
      <c r="EA141" s="1119"/>
      <c r="EB141" s="1119"/>
    </row>
    <row r="142" spans="2:132" x14ac:dyDescent="0.2">
      <c r="AA142" s="1117"/>
      <c r="AB142" s="1097"/>
      <c r="AC142" s="1097"/>
      <c r="AD142" s="1097"/>
      <c r="AE142" s="1097"/>
      <c r="AF142" s="1097"/>
      <c r="AG142" s="1097"/>
      <c r="AH142" s="1097"/>
      <c r="AI142" s="1097"/>
      <c r="AJ142" s="1097"/>
      <c r="AK142" s="1097"/>
      <c r="AL142" s="1097"/>
      <c r="AM142" s="1097"/>
      <c r="AN142" s="1097"/>
      <c r="AO142" s="1097"/>
      <c r="AP142" s="1097"/>
      <c r="AQ142" s="1097"/>
      <c r="AR142" s="1097"/>
      <c r="AS142" s="1097"/>
      <c r="AT142" s="1097"/>
      <c r="AU142" s="1097"/>
      <c r="AV142" s="1097"/>
      <c r="AW142" s="1097"/>
      <c r="AX142" s="1097"/>
      <c r="AY142" s="1097"/>
      <c r="AZ142" s="1097"/>
      <c r="BA142" s="1097"/>
      <c r="BB142" s="1097"/>
      <c r="BH142" s="1117"/>
      <c r="BI142" s="1097"/>
      <c r="BJ142" s="1097"/>
      <c r="BK142" s="1097"/>
      <c r="BL142" s="1097"/>
      <c r="BM142" s="1097"/>
      <c r="BN142" s="1097"/>
      <c r="BO142" s="1097"/>
      <c r="BP142" s="1097"/>
      <c r="BQ142" s="1097"/>
      <c r="BR142" s="1097"/>
      <c r="BS142" s="1097"/>
      <c r="BT142" s="1097"/>
      <c r="BU142" s="1097"/>
      <c r="BV142" s="1097"/>
      <c r="BW142" s="1097"/>
      <c r="BX142" s="1097"/>
      <c r="BY142" s="1097"/>
      <c r="BZ142" s="1097"/>
      <c r="CA142" s="1097"/>
      <c r="CB142" s="1097"/>
      <c r="CH142" s="1117"/>
      <c r="CI142" s="1097"/>
      <c r="CJ142" s="1097"/>
      <c r="CK142" s="1097"/>
      <c r="CL142" s="1097"/>
      <c r="CM142" s="1097"/>
      <c r="CN142" s="1097"/>
      <c r="CO142" s="1097"/>
      <c r="CP142" s="1097"/>
      <c r="CQ142" s="1097"/>
      <c r="CR142" s="1097"/>
      <c r="CS142" s="1097"/>
      <c r="CT142" s="1097"/>
      <c r="CU142" s="1097"/>
      <c r="CV142" s="1097"/>
      <c r="CW142" s="1097"/>
      <c r="CX142" s="1097"/>
      <c r="CY142" s="1097"/>
      <c r="CZ142" s="1097"/>
      <c r="DA142" s="1097"/>
      <c r="DB142" s="1097"/>
      <c r="DI142" s="1099"/>
      <c r="DJ142" s="1099"/>
      <c r="DK142" s="1099"/>
      <c r="DL142" s="1099"/>
      <c r="DM142" s="1099"/>
      <c r="DN142" s="1099"/>
      <c r="DO142" s="1099"/>
      <c r="DP142" s="1099"/>
      <c r="DQ142" s="1099"/>
      <c r="DR142" s="1099"/>
      <c r="DS142" s="1099"/>
      <c r="DT142" s="1099"/>
      <c r="DU142" s="1099"/>
      <c r="DV142" s="1099"/>
      <c r="DW142" s="1099"/>
      <c r="DX142" s="1099"/>
      <c r="DY142" s="1099"/>
      <c r="DZ142" s="1099"/>
      <c r="EA142" s="1099"/>
      <c r="EB142" s="1099"/>
    </row>
    <row r="143" spans="2:132" x14ac:dyDescent="0.2">
      <c r="AA143" s="1117"/>
      <c r="AB143" s="1097"/>
      <c r="AC143" s="1097"/>
      <c r="AD143" s="1097"/>
      <c r="AE143" s="1097"/>
      <c r="AF143" s="1097"/>
      <c r="AG143" s="1097"/>
      <c r="AH143" s="1097"/>
      <c r="AI143" s="1097"/>
      <c r="AJ143" s="1097"/>
      <c r="AK143" s="1097"/>
      <c r="AL143" s="1097"/>
      <c r="AM143" s="1097"/>
      <c r="AN143" s="1097"/>
      <c r="AO143" s="1097"/>
      <c r="AP143" s="1097"/>
      <c r="AQ143" s="1097"/>
      <c r="AR143" s="1097"/>
      <c r="AS143" s="1153"/>
      <c r="AT143" s="1153"/>
      <c r="AU143" s="1097"/>
      <c r="AV143" s="1097"/>
      <c r="AW143" s="1097"/>
      <c r="AX143" s="1097"/>
      <c r="AY143" s="1097"/>
      <c r="AZ143" s="1097"/>
      <c r="BA143" s="1097"/>
      <c r="BB143" s="1097"/>
      <c r="BH143" s="1117"/>
      <c r="BI143" s="1097"/>
      <c r="BJ143" s="1097"/>
      <c r="BK143" s="1097"/>
      <c r="BL143" s="1097"/>
      <c r="BM143" s="1097"/>
      <c r="BN143" s="1097"/>
      <c r="BO143" s="1097"/>
      <c r="BP143" s="1097"/>
      <c r="BQ143" s="1097"/>
      <c r="BR143" s="1097"/>
      <c r="BS143" s="1097"/>
      <c r="BT143" s="1097"/>
      <c r="BU143" s="1153"/>
      <c r="BV143" s="1097"/>
      <c r="BW143" s="1097"/>
      <c r="BX143" s="1097"/>
      <c r="BY143" s="1097"/>
      <c r="BZ143" s="1097"/>
      <c r="CA143" s="1097"/>
      <c r="CB143" s="1097"/>
      <c r="CH143" s="1117"/>
      <c r="CI143" s="1097"/>
      <c r="CJ143" s="1097"/>
      <c r="CK143" s="1097"/>
      <c r="CL143" s="1097"/>
      <c r="CM143" s="1097"/>
      <c r="CN143" s="1097"/>
      <c r="CO143" s="1097"/>
      <c r="CP143" s="1097"/>
      <c r="CQ143" s="1097"/>
      <c r="CR143" s="1097"/>
      <c r="CS143" s="1097"/>
      <c r="CT143" s="1097"/>
      <c r="CU143" s="1153"/>
      <c r="CV143" s="1097"/>
      <c r="CW143" s="1097"/>
      <c r="CX143" s="1097"/>
      <c r="CY143" s="1097"/>
      <c r="CZ143" s="1097"/>
      <c r="DA143" s="1097"/>
      <c r="DB143" s="1097"/>
      <c r="DI143" s="1097"/>
      <c r="DJ143" s="1097"/>
      <c r="DK143" s="1097"/>
      <c r="DL143" s="1097"/>
      <c r="DM143" s="1097"/>
      <c r="DN143" s="1097"/>
      <c r="DO143" s="1097"/>
      <c r="DP143" s="1097"/>
      <c r="DQ143" s="1097"/>
      <c r="DR143" s="1097"/>
      <c r="DS143" s="1097"/>
      <c r="DT143" s="1097"/>
      <c r="DU143" s="1153"/>
      <c r="DV143" s="1097"/>
      <c r="DW143" s="1097"/>
      <c r="DX143" s="1097"/>
      <c r="DY143" s="1097"/>
      <c r="DZ143" s="1097"/>
      <c r="EA143" s="1097"/>
      <c r="EB143" s="1097"/>
    </row>
    <row r="144" spans="2:132" x14ac:dyDescent="0.2">
      <c r="B144" s="60" t="e">
        <f t="shared" si="76"/>
        <v>#DIV/0!</v>
      </c>
      <c r="L144" s="60" t="e">
        <f t="shared" ref="L144:L150" si="101">IF($A$114=1,AO144,IF($A$114=2,BS144,IF($A$114=3,CS144,IF($A$114=4,DR144))))</f>
        <v>#DIV/0!</v>
      </c>
      <c r="AA144" s="1117"/>
      <c r="AB144" s="1131" t="s">
        <v>205</v>
      </c>
      <c r="AC144" s="1131"/>
      <c r="AD144" s="1131"/>
      <c r="AE144" s="1131"/>
      <c r="AF144" s="1131"/>
      <c r="AG144" s="1131"/>
      <c r="AH144" s="1131"/>
      <c r="AI144" s="1131"/>
      <c r="AJ144" s="1131"/>
      <c r="AK144" s="1131"/>
      <c r="AL144" s="1131"/>
      <c r="AM144" s="1131"/>
      <c r="AN144" s="1131"/>
      <c r="AO144" s="1097" t="s">
        <v>206</v>
      </c>
      <c r="AP144" s="1097"/>
      <c r="AQ144" s="1117"/>
      <c r="AR144" s="1117"/>
      <c r="AS144" s="1117"/>
      <c r="AT144" s="1117"/>
      <c r="AU144" s="1117"/>
      <c r="AV144" s="1117"/>
      <c r="AW144" s="1117"/>
      <c r="AX144" s="1117"/>
      <c r="AY144" s="1117"/>
      <c r="AZ144" s="1117"/>
      <c r="BA144" s="1097"/>
      <c r="BB144" s="1097"/>
      <c r="BH144" s="1117"/>
      <c r="BI144" s="1131" t="s">
        <v>205</v>
      </c>
      <c r="BJ144" s="1131"/>
      <c r="BK144" s="1131"/>
      <c r="BL144" s="1131"/>
      <c r="BM144" s="1131"/>
      <c r="BN144" s="1131"/>
      <c r="BO144" s="1131"/>
      <c r="BP144" s="1131"/>
      <c r="BQ144" s="1131"/>
      <c r="BR144" s="1131"/>
      <c r="BS144" s="1097" t="s">
        <v>206</v>
      </c>
      <c r="BT144" s="1117"/>
      <c r="BU144" s="1117"/>
      <c r="BV144" s="1117"/>
      <c r="BW144" s="1117"/>
      <c r="BX144" s="1117"/>
      <c r="BY144" s="1117"/>
      <c r="BZ144" s="1117"/>
      <c r="CA144" s="1097"/>
      <c r="CB144" s="1097"/>
      <c r="CH144" s="1117"/>
      <c r="CI144" s="1131" t="s">
        <v>205</v>
      </c>
      <c r="CJ144" s="1131"/>
      <c r="CK144" s="1131"/>
      <c r="CL144" s="1131"/>
      <c r="CM144" s="1131"/>
      <c r="CN144" s="1131"/>
      <c r="CO144" s="1131"/>
      <c r="CP144" s="1131"/>
      <c r="CQ144" s="1131"/>
      <c r="CR144" s="1131"/>
      <c r="CS144" s="1097" t="s">
        <v>206</v>
      </c>
      <c r="CT144" s="1117"/>
      <c r="CU144" s="1117"/>
      <c r="CV144" s="1117"/>
      <c r="CW144" s="1117"/>
      <c r="CX144" s="1117"/>
      <c r="CY144" s="1117"/>
      <c r="CZ144" s="1117"/>
      <c r="DA144" s="1097"/>
      <c r="DB144" s="1097"/>
      <c r="DI144" s="1131" t="s">
        <v>205</v>
      </c>
      <c r="DJ144" s="1131"/>
      <c r="DK144" s="1131"/>
      <c r="DL144" s="1131"/>
      <c r="DM144" s="1131"/>
      <c r="DN144" s="1131"/>
      <c r="DO144" s="1131"/>
      <c r="DP144" s="1131"/>
      <c r="DQ144" s="1131"/>
      <c r="DR144" s="1131"/>
      <c r="DS144" s="1097" t="s">
        <v>206</v>
      </c>
      <c r="DT144" s="1117"/>
      <c r="DU144" s="1117"/>
      <c r="DV144" s="1117"/>
      <c r="DW144" s="1117"/>
      <c r="DX144" s="1117"/>
      <c r="DY144" s="1117"/>
      <c r="DZ144" s="1117"/>
      <c r="EA144" s="1097"/>
      <c r="EB144" s="1097"/>
    </row>
    <row r="145" spans="2:132" x14ac:dyDescent="0.2">
      <c r="L145" s="60" t="e">
        <f t="shared" si="101"/>
        <v>#DIV/0!</v>
      </c>
      <c r="M145" s="60" t="e">
        <f t="shared" ref="M145:M150" si="102">IF($A$114=1,AQ145,IF($A$114=2,BT145,IF($A$114=3,CT145,IF($A$114=4,DS145))))</f>
        <v>#DIV/0!</v>
      </c>
      <c r="N145" s="60" t="e">
        <f t="shared" ref="N145:N150" si="103">IF($A$114=1,AS145,IF($A$114=2,BU145,IF($A$114=3,CU145,IF($A$114=4,DT145))))</f>
        <v>#DIV/0!</v>
      </c>
      <c r="AA145" s="1117"/>
      <c r="AB145" s="1097"/>
      <c r="AC145" s="1097"/>
      <c r="AD145" s="1097"/>
      <c r="AE145" s="1097"/>
      <c r="AF145" s="1097"/>
      <c r="AG145" s="1097"/>
      <c r="AH145" s="1097"/>
      <c r="AI145" s="1097"/>
      <c r="AJ145" s="1097"/>
      <c r="AK145" s="1097"/>
      <c r="AL145" s="1097"/>
      <c r="AM145" s="1097"/>
      <c r="AN145" s="1097"/>
      <c r="AO145" s="1131" t="s">
        <v>3411</v>
      </c>
      <c r="AP145" s="1131"/>
      <c r="AQ145" s="1131" t="s">
        <v>207</v>
      </c>
      <c r="AR145" s="1131"/>
      <c r="AS145" s="1131" t="s">
        <v>208</v>
      </c>
      <c r="AT145" s="1131"/>
      <c r="AU145" s="1117"/>
      <c r="AV145" s="1117"/>
      <c r="AW145" s="1117"/>
      <c r="AX145" s="1117"/>
      <c r="AY145" s="1117"/>
      <c r="AZ145" s="1117"/>
      <c r="BA145" s="1097"/>
      <c r="BB145" s="1097"/>
      <c r="BH145" s="1117"/>
      <c r="BI145" s="1097"/>
      <c r="BJ145" s="1097"/>
      <c r="BK145" s="1097"/>
      <c r="BL145" s="1097"/>
      <c r="BM145" s="1097"/>
      <c r="BN145" s="1097"/>
      <c r="BO145" s="1097"/>
      <c r="BP145" s="1097"/>
      <c r="BQ145" s="1097"/>
      <c r="BR145" s="1097"/>
      <c r="BS145" s="1131" t="s">
        <v>3411</v>
      </c>
      <c r="BT145" s="1131" t="s">
        <v>207</v>
      </c>
      <c r="BU145" s="1131" t="s">
        <v>208</v>
      </c>
      <c r="BV145" s="1117"/>
      <c r="BW145" s="1117"/>
      <c r="BX145" s="1117"/>
      <c r="BY145" s="1117"/>
      <c r="BZ145" s="1117"/>
      <c r="CA145" s="1097"/>
      <c r="CB145" s="1097"/>
      <c r="CH145" s="1117"/>
      <c r="CI145" s="1097"/>
      <c r="CJ145" s="1097"/>
      <c r="CK145" s="1097"/>
      <c r="CL145" s="1097"/>
      <c r="CM145" s="1097"/>
      <c r="CN145" s="1097"/>
      <c r="CO145" s="1097"/>
      <c r="CP145" s="1097"/>
      <c r="CQ145" s="1097"/>
      <c r="CR145" s="1097"/>
      <c r="CS145" s="1131" t="s">
        <v>3411</v>
      </c>
      <c r="CT145" s="1131" t="s">
        <v>207</v>
      </c>
      <c r="CU145" s="1131" t="s">
        <v>208</v>
      </c>
      <c r="CV145" s="1117"/>
      <c r="CW145" s="1117"/>
      <c r="CX145" s="1117"/>
      <c r="CY145" s="1117"/>
      <c r="CZ145" s="1117"/>
      <c r="DA145" s="1097"/>
      <c r="DB145" s="1097"/>
      <c r="DI145" s="1097"/>
      <c r="DJ145" s="1097"/>
      <c r="DK145" s="1097"/>
      <c r="DL145" s="1097"/>
      <c r="DM145" s="1097"/>
      <c r="DN145" s="1097"/>
      <c r="DO145" s="1097"/>
      <c r="DP145" s="1097"/>
      <c r="DQ145" s="1097"/>
      <c r="DR145" s="1097"/>
      <c r="DS145" s="1131" t="s">
        <v>3411</v>
      </c>
      <c r="DT145" s="1131" t="s">
        <v>207</v>
      </c>
      <c r="DU145" s="1131" t="s">
        <v>208</v>
      </c>
      <c r="DV145" s="1117"/>
      <c r="DW145" s="1117"/>
      <c r="DX145" s="1117"/>
      <c r="DY145" s="1117"/>
      <c r="DZ145" s="1117"/>
      <c r="EA145" s="1097"/>
      <c r="EB145" s="1097"/>
    </row>
    <row r="146" spans="2:132" ht="12.75" x14ac:dyDescent="0.25">
      <c r="B146" s="60" t="e">
        <f t="shared" si="76"/>
        <v>#DIV/0!</v>
      </c>
      <c r="L146" s="60" t="e">
        <f t="shared" si="101"/>
        <v>#DIV/0!</v>
      </c>
      <c r="M146" s="60" t="e">
        <f t="shared" si="102"/>
        <v>#DIV/0!</v>
      </c>
      <c r="N146" s="60" t="e">
        <f t="shared" si="103"/>
        <v>#DIV/0!</v>
      </c>
      <c r="AA146" s="1117"/>
      <c r="AB146" s="1131" t="s">
        <v>209</v>
      </c>
      <c r="AC146" s="1097"/>
      <c r="AD146" s="1097"/>
      <c r="AE146" s="1097"/>
      <c r="AF146" s="1097"/>
      <c r="AG146" s="1097"/>
      <c r="AH146" s="1097"/>
      <c r="AI146" s="1097"/>
      <c r="AJ146" s="1097"/>
      <c r="AK146" s="1097"/>
      <c r="AL146" s="1097"/>
      <c r="AM146" s="1097"/>
      <c r="AN146" s="1097"/>
      <c r="AO146" s="1154" t="s">
        <v>3970</v>
      </c>
      <c r="AP146" s="1154"/>
      <c r="AQ146" s="1155">
        <v>0.72580762418068157</v>
      </c>
      <c r="AR146" s="1155"/>
      <c r="AS146" s="1155">
        <v>0.27419237581931838</v>
      </c>
      <c r="AT146" s="1155"/>
      <c r="AU146" s="1117"/>
      <c r="AV146" s="1117"/>
      <c r="AW146" s="1117"/>
      <c r="AX146" s="1117"/>
      <c r="AY146" s="1117"/>
      <c r="AZ146" s="1117"/>
      <c r="BA146" s="1097"/>
      <c r="BB146" s="1097"/>
      <c r="BH146" s="1117"/>
      <c r="BI146" s="1131" t="s">
        <v>209</v>
      </c>
      <c r="BJ146" s="1097"/>
      <c r="BK146" s="1097"/>
      <c r="BL146" s="1097"/>
      <c r="BM146" s="1097"/>
      <c r="BN146" s="1097"/>
      <c r="BO146" s="1097"/>
      <c r="BP146" s="1097"/>
      <c r="BQ146" s="1097"/>
      <c r="BR146" s="1097"/>
      <c r="BS146" s="1154" t="s">
        <v>3970</v>
      </c>
      <c r="BT146" s="1155">
        <v>0.71826892726921543</v>
      </c>
      <c r="BU146" s="1155">
        <v>0.28173107273078457</v>
      </c>
      <c r="BV146" s="1117"/>
      <c r="BW146" s="1117"/>
      <c r="BX146" s="1117"/>
      <c r="BY146" s="1117"/>
      <c r="BZ146" s="1117"/>
      <c r="CA146" s="1097"/>
      <c r="CB146" s="1097"/>
      <c r="CH146" s="1117"/>
      <c r="CI146" s="1131" t="s">
        <v>209</v>
      </c>
      <c r="CJ146" s="1097"/>
      <c r="CK146" s="1097"/>
      <c r="CL146" s="1097"/>
      <c r="CM146" s="1097"/>
      <c r="CN146" s="1097"/>
      <c r="CO146" s="1097"/>
      <c r="CP146" s="1097"/>
      <c r="CQ146" s="1097"/>
      <c r="CR146" s="1097"/>
      <c r="CS146" s="1154" t="s">
        <v>3970</v>
      </c>
      <c r="CT146" s="1156">
        <v>0.71857493872032463</v>
      </c>
      <c r="CU146" s="1156">
        <v>0.28142506127967548</v>
      </c>
      <c r="CV146" s="1117"/>
      <c r="CW146" s="1117"/>
      <c r="CX146" s="1117"/>
      <c r="CY146" s="1117"/>
      <c r="CZ146" s="1117"/>
      <c r="DA146" s="1097"/>
      <c r="DB146" s="1097"/>
      <c r="DI146" s="1131" t="s">
        <v>209</v>
      </c>
      <c r="DJ146" s="1097"/>
      <c r="DK146" s="1097"/>
      <c r="DL146" s="1097"/>
      <c r="DM146" s="1097"/>
      <c r="DN146" s="1097"/>
      <c r="DO146" s="1097"/>
      <c r="DP146" s="1097"/>
      <c r="DQ146" s="1097"/>
      <c r="DR146" s="1097"/>
      <c r="DS146" s="1154" t="s">
        <v>3970</v>
      </c>
      <c r="DT146" s="1155">
        <v>0.71888095017143372</v>
      </c>
      <c r="DU146" s="1155">
        <v>0.28111904982856639</v>
      </c>
      <c r="DV146" s="1117"/>
      <c r="DW146" s="1117"/>
      <c r="DX146" s="1117"/>
      <c r="DY146" s="1117"/>
      <c r="DZ146" s="1117"/>
      <c r="EA146" s="1097"/>
      <c r="EB146" s="1097"/>
    </row>
    <row r="147" spans="2:132" ht="12.75" x14ac:dyDescent="0.25">
      <c r="B147" s="60">
        <v>3000</v>
      </c>
      <c r="C147" s="60">
        <v>3000</v>
      </c>
      <c r="D147" s="60">
        <v>6000</v>
      </c>
      <c r="E147" s="60">
        <v>6000</v>
      </c>
      <c r="F147" s="60">
        <v>9000</v>
      </c>
      <c r="G147" s="60">
        <v>9000</v>
      </c>
      <c r="H147" s="60">
        <v>12000</v>
      </c>
      <c r="I147" s="60">
        <v>12000</v>
      </c>
      <c r="J147" s="60">
        <v>15000</v>
      </c>
      <c r="K147" s="60">
        <v>15000</v>
      </c>
      <c r="L147" s="60" t="e">
        <f t="shared" si="101"/>
        <v>#DIV/0!</v>
      </c>
      <c r="M147" s="60" t="e">
        <f t="shared" si="102"/>
        <v>#DIV/0!</v>
      </c>
      <c r="N147" s="60" t="e">
        <f t="shared" si="103"/>
        <v>#DIV/0!</v>
      </c>
      <c r="AA147" s="1117"/>
      <c r="AB147" s="1131" t="s">
        <v>210</v>
      </c>
      <c r="AC147" s="1131"/>
      <c r="AD147" s="1131" t="s">
        <v>211</v>
      </c>
      <c r="AE147" s="1131"/>
      <c r="AF147" s="1131" t="s">
        <v>212</v>
      </c>
      <c r="AG147" s="1131"/>
      <c r="AH147" s="1131" t="s">
        <v>213</v>
      </c>
      <c r="AI147" s="1131"/>
      <c r="AJ147" s="1131"/>
      <c r="AK147" s="1131" t="s">
        <v>214</v>
      </c>
      <c r="AL147" s="1131"/>
      <c r="AM147" s="1131"/>
      <c r="AN147" s="1131"/>
      <c r="AO147" s="1154" t="s">
        <v>3972</v>
      </c>
      <c r="AP147" s="1154"/>
      <c r="AQ147" s="1155">
        <v>0.69943466597925719</v>
      </c>
      <c r="AR147" s="1155"/>
      <c r="AS147" s="1155">
        <v>0.3005653340207427</v>
      </c>
      <c r="AT147" s="1155"/>
      <c r="AU147" s="1117"/>
      <c r="AV147" s="1117"/>
      <c r="AW147" s="1117"/>
      <c r="AX147" s="1117"/>
      <c r="AY147" s="1117"/>
      <c r="AZ147" s="1117"/>
      <c r="BA147" s="1097"/>
      <c r="BB147" s="1097"/>
      <c r="BH147" s="1117"/>
      <c r="BI147" s="1131" t="s">
        <v>210</v>
      </c>
      <c r="BJ147" s="1131"/>
      <c r="BK147" s="1131" t="s">
        <v>211</v>
      </c>
      <c r="BL147" s="1131"/>
      <c r="BM147" s="1131" t="s">
        <v>212</v>
      </c>
      <c r="BN147" s="1131"/>
      <c r="BO147" s="1131" t="s">
        <v>213</v>
      </c>
      <c r="BP147" s="1131"/>
      <c r="BQ147" s="1131" t="s">
        <v>214</v>
      </c>
      <c r="BR147" s="1131"/>
      <c r="BS147" s="1154" t="s">
        <v>3972</v>
      </c>
      <c r="BT147" s="1155">
        <v>0.69134209866849083</v>
      </c>
      <c r="BU147" s="1155">
        <v>0.30865790133150917</v>
      </c>
      <c r="BV147" s="1117"/>
      <c r="BW147" s="1117"/>
      <c r="BX147" s="1117"/>
      <c r="BY147" s="1117"/>
      <c r="BZ147" s="1117"/>
      <c r="CA147" s="1097"/>
      <c r="CB147" s="1097"/>
      <c r="CH147" s="1117"/>
      <c r="CI147" s="1131" t="s">
        <v>210</v>
      </c>
      <c r="CJ147" s="1131"/>
      <c r="CK147" s="1131" t="s">
        <v>211</v>
      </c>
      <c r="CL147" s="1131"/>
      <c r="CM147" s="1131" t="s">
        <v>212</v>
      </c>
      <c r="CN147" s="1131"/>
      <c r="CO147" s="1131" t="s">
        <v>213</v>
      </c>
      <c r="CP147" s="1131"/>
      <c r="CQ147" s="1131" t="s">
        <v>214</v>
      </c>
      <c r="CR147" s="1131"/>
      <c r="CS147" s="1154" t="s">
        <v>3972</v>
      </c>
      <c r="CT147" s="1156">
        <v>0.69169054617674552</v>
      </c>
      <c r="CU147" s="1156">
        <v>0.30830945382325448</v>
      </c>
      <c r="CV147" s="1117"/>
      <c r="CW147" s="1117"/>
      <c r="CX147" s="1117"/>
      <c r="CY147" s="1117"/>
      <c r="CZ147" s="1117"/>
      <c r="DA147" s="1097"/>
      <c r="DB147" s="1097"/>
      <c r="DI147" s="1131" t="s">
        <v>210</v>
      </c>
      <c r="DJ147" s="1131"/>
      <c r="DK147" s="1131" t="s">
        <v>211</v>
      </c>
      <c r="DL147" s="1131"/>
      <c r="DM147" s="1131" t="s">
        <v>212</v>
      </c>
      <c r="DN147" s="1131"/>
      <c r="DO147" s="1131" t="s">
        <v>213</v>
      </c>
      <c r="DP147" s="1131"/>
      <c r="DQ147" s="1131" t="s">
        <v>214</v>
      </c>
      <c r="DR147" s="1131"/>
      <c r="DS147" s="1154" t="s">
        <v>3972</v>
      </c>
      <c r="DT147" s="1155">
        <v>0.6920389936850001</v>
      </c>
      <c r="DU147" s="1155">
        <v>0.30796100631499984</v>
      </c>
      <c r="DV147" s="1117"/>
      <c r="DW147" s="1117"/>
      <c r="DX147" s="1117"/>
      <c r="DY147" s="1117"/>
      <c r="DZ147" s="1117"/>
      <c r="EA147" s="1097"/>
      <c r="EB147" s="1097"/>
    </row>
    <row r="148" spans="2:132" ht="12.75" x14ac:dyDescent="0.25">
      <c r="B148" s="60" t="s">
        <v>30</v>
      </c>
      <c r="C148" s="60" t="s">
        <v>851</v>
      </c>
      <c r="D148" s="60" t="s">
        <v>30</v>
      </c>
      <c r="E148" s="60" t="s">
        <v>851</v>
      </c>
      <c r="F148" s="60" t="s">
        <v>30</v>
      </c>
      <c r="G148" s="60" t="s">
        <v>851</v>
      </c>
      <c r="H148" s="60" t="s">
        <v>30</v>
      </c>
      <c r="I148" s="60" t="s">
        <v>851</v>
      </c>
      <c r="J148" s="60" t="s">
        <v>30</v>
      </c>
      <c r="K148" s="60" t="s">
        <v>851</v>
      </c>
      <c r="L148" s="60" t="e">
        <f t="shared" si="101"/>
        <v>#DIV/0!</v>
      </c>
      <c r="M148" s="60" t="e">
        <f t="shared" si="102"/>
        <v>#DIV/0!</v>
      </c>
      <c r="N148" s="60" t="e">
        <f t="shared" si="103"/>
        <v>#DIV/0!</v>
      </c>
      <c r="AA148" s="1117"/>
      <c r="AB148" s="1131" t="s">
        <v>30</v>
      </c>
      <c r="AC148" s="1131" t="s">
        <v>851</v>
      </c>
      <c r="AD148" s="1131" t="s">
        <v>30</v>
      </c>
      <c r="AE148" s="1131" t="s">
        <v>851</v>
      </c>
      <c r="AF148" s="1131" t="s">
        <v>30</v>
      </c>
      <c r="AG148" s="1131" t="s">
        <v>851</v>
      </c>
      <c r="AH148" s="1131" t="s">
        <v>30</v>
      </c>
      <c r="AI148" s="1131" t="s">
        <v>851</v>
      </c>
      <c r="AJ148" s="1131"/>
      <c r="AK148" s="1131" t="s">
        <v>30</v>
      </c>
      <c r="AL148" s="1131"/>
      <c r="AM148" s="1131" t="s">
        <v>851</v>
      </c>
      <c r="AN148" s="1131"/>
      <c r="AO148" s="1154" t="s">
        <v>3974</v>
      </c>
      <c r="AP148" s="1154"/>
      <c r="AQ148" s="1155">
        <v>0.67706518716828401</v>
      </c>
      <c r="AR148" s="1155"/>
      <c r="AS148" s="1155">
        <v>0.32293481283171588</v>
      </c>
      <c r="AT148" s="1155"/>
      <c r="AU148" s="1117"/>
      <c r="AV148" s="1117"/>
      <c r="AW148" s="1117"/>
      <c r="AX148" s="1117"/>
      <c r="AY148" s="1117"/>
      <c r="AZ148" s="1117"/>
      <c r="BA148" s="1097"/>
      <c r="BB148" s="1097"/>
      <c r="BH148" s="1117"/>
      <c r="BI148" s="1131" t="s">
        <v>30</v>
      </c>
      <c r="BJ148" s="1131" t="s">
        <v>851</v>
      </c>
      <c r="BK148" s="1131" t="s">
        <v>30</v>
      </c>
      <c r="BL148" s="1131" t="s">
        <v>851</v>
      </c>
      <c r="BM148" s="1131" t="s">
        <v>30</v>
      </c>
      <c r="BN148" s="1131" t="s">
        <v>851</v>
      </c>
      <c r="BO148" s="1131" t="s">
        <v>30</v>
      </c>
      <c r="BP148" s="1131" t="s">
        <v>851</v>
      </c>
      <c r="BQ148" s="1131" t="s">
        <v>30</v>
      </c>
      <c r="BR148" s="1131" t="s">
        <v>851</v>
      </c>
      <c r="BS148" s="1154" t="s">
        <v>3974</v>
      </c>
      <c r="BT148" s="1155">
        <v>0.66853159906067405</v>
      </c>
      <c r="BU148" s="1155">
        <v>0.33146840093932589</v>
      </c>
      <c r="BV148" s="1117"/>
      <c r="BW148" s="1117"/>
      <c r="BX148" s="1117"/>
      <c r="BY148" s="1117"/>
      <c r="BZ148" s="1117"/>
      <c r="CA148" s="1097"/>
      <c r="CB148" s="1097"/>
      <c r="CH148" s="1117"/>
      <c r="CI148" s="1131" t="s">
        <v>30</v>
      </c>
      <c r="CJ148" s="1131" t="s">
        <v>851</v>
      </c>
      <c r="CK148" s="1131" t="s">
        <v>30</v>
      </c>
      <c r="CL148" s="1131" t="s">
        <v>851</v>
      </c>
      <c r="CM148" s="1131" t="s">
        <v>30</v>
      </c>
      <c r="CN148" s="1131" t="s">
        <v>851</v>
      </c>
      <c r="CO148" s="1131" t="s">
        <v>30</v>
      </c>
      <c r="CP148" s="1131" t="s">
        <v>851</v>
      </c>
      <c r="CQ148" s="1131" t="s">
        <v>30</v>
      </c>
      <c r="CR148" s="1131" t="s">
        <v>851</v>
      </c>
      <c r="CS148" s="1154" t="s">
        <v>3974</v>
      </c>
      <c r="CT148" s="1156">
        <v>0.66891204925769676</v>
      </c>
      <c r="CU148" s="1156">
        <v>0.33108795074230324</v>
      </c>
      <c r="CV148" s="1117"/>
      <c r="CW148" s="1117"/>
      <c r="CX148" s="1117"/>
      <c r="CY148" s="1117"/>
      <c r="CZ148" s="1117"/>
      <c r="DA148" s="1097"/>
      <c r="DB148" s="1097"/>
      <c r="DI148" s="1131" t="s">
        <v>30</v>
      </c>
      <c r="DJ148" s="1131" t="s">
        <v>851</v>
      </c>
      <c r="DK148" s="1131" t="s">
        <v>30</v>
      </c>
      <c r="DL148" s="1131" t="s">
        <v>851</v>
      </c>
      <c r="DM148" s="1131" t="s">
        <v>30</v>
      </c>
      <c r="DN148" s="1131" t="s">
        <v>851</v>
      </c>
      <c r="DO148" s="1131" t="s">
        <v>30</v>
      </c>
      <c r="DP148" s="1131" t="s">
        <v>851</v>
      </c>
      <c r="DQ148" s="1131" t="s">
        <v>30</v>
      </c>
      <c r="DR148" s="1131" t="s">
        <v>851</v>
      </c>
      <c r="DS148" s="1154" t="s">
        <v>3974</v>
      </c>
      <c r="DT148" s="1155">
        <v>0.66929249945471936</v>
      </c>
      <c r="DU148" s="1155">
        <v>0.33070750054528053</v>
      </c>
      <c r="DV148" s="1117"/>
      <c r="DW148" s="1117"/>
      <c r="DX148" s="1117"/>
      <c r="DY148" s="1117"/>
      <c r="DZ148" s="1117"/>
      <c r="EA148" s="1097"/>
      <c r="EB148" s="1097"/>
    </row>
    <row r="149" spans="2:132" ht="12.75" x14ac:dyDescent="0.25">
      <c r="B149" s="60">
        <v>3000</v>
      </c>
      <c r="C149" s="60" t="e">
        <f t="shared" ref="C149:I149" si="104">IF($A$114=1,AC149,IF($A$114=2,BJ149,IF($A$114=3,CJ149,IF($A$114=4,DI149))))</f>
        <v>#DIV/0!</v>
      </c>
      <c r="D149" s="60" t="e">
        <f t="shared" si="104"/>
        <v>#DIV/0!</v>
      </c>
      <c r="E149" s="60" t="e">
        <f t="shared" si="104"/>
        <v>#DIV/0!</v>
      </c>
      <c r="F149" s="60" t="e">
        <f t="shared" si="104"/>
        <v>#DIV/0!</v>
      </c>
      <c r="G149" s="60" t="e">
        <f t="shared" si="104"/>
        <v>#DIV/0!</v>
      </c>
      <c r="H149" s="60" t="e">
        <f t="shared" si="104"/>
        <v>#DIV/0!</v>
      </c>
      <c r="I149" s="60" t="e">
        <f t="shared" si="104"/>
        <v>#DIV/0!</v>
      </c>
      <c r="J149" s="60" t="e">
        <f>IF($A$114=1,AK149,IF($A$114=2,BQ149,IF($A$114=3,CQ149,IF($A$114=4,DP149))))</f>
        <v>#DIV/0!</v>
      </c>
      <c r="K149" s="60" t="e">
        <f>IF($A$114=1,AM149,IF($A$114=2,BR149,IF($A$114=3,CR149,IF($A$114=4,DQ149))))</f>
        <v>#DIV/0!</v>
      </c>
      <c r="L149" s="60" t="e">
        <f t="shared" si="101"/>
        <v>#DIV/0!</v>
      </c>
      <c r="M149" s="60" t="e">
        <f t="shared" si="102"/>
        <v>#DIV/0!</v>
      </c>
      <c r="N149" s="60" t="e">
        <f t="shared" si="103"/>
        <v>#DIV/0!</v>
      </c>
      <c r="AA149" s="1117"/>
      <c r="AB149" s="1157">
        <v>326</v>
      </c>
      <c r="AC149" s="1157">
        <v>121</v>
      </c>
      <c r="AD149" s="1157">
        <v>711</v>
      </c>
      <c r="AE149" s="1157">
        <v>254</v>
      </c>
      <c r="AF149" s="1157">
        <v>1085</v>
      </c>
      <c r="AG149" s="1157">
        <v>428</v>
      </c>
      <c r="AH149" s="1157">
        <v>1509</v>
      </c>
      <c r="AI149" s="1157">
        <v>610</v>
      </c>
      <c r="AJ149" s="1157"/>
      <c r="AK149" s="1157">
        <v>2284</v>
      </c>
      <c r="AL149" s="1157"/>
      <c r="AM149" s="1157">
        <v>829</v>
      </c>
      <c r="AN149" s="1157"/>
      <c r="AO149" s="1154" t="s">
        <v>3976</v>
      </c>
      <c r="AP149" s="1154"/>
      <c r="AQ149" s="1155">
        <v>0.65406776518318988</v>
      </c>
      <c r="AR149" s="1155"/>
      <c r="AS149" s="1155">
        <v>0.34593223481681024</v>
      </c>
      <c r="AT149" s="1155"/>
      <c r="AU149" s="1117"/>
      <c r="AV149" s="1117"/>
      <c r="AW149" s="1117"/>
      <c r="AX149" s="1117"/>
      <c r="AY149" s="1117"/>
      <c r="AZ149" s="1117"/>
      <c r="BA149" s="1097"/>
      <c r="BB149" s="1097"/>
      <c r="BH149" s="1117"/>
      <c r="BI149" s="1157">
        <v>393</v>
      </c>
      <c r="BJ149" s="1157">
        <v>170</v>
      </c>
      <c r="BK149" s="1157">
        <v>949</v>
      </c>
      <c r="BL149" s="1157">
        <v>359</v>
      </c>
      <c r="BM149" s="1157">
        <v>1625</v>
      </c>
      <c r="BN149" s="1157">
        <v>605</v>
      </c>
      <c r="BO149" s="1157">
        <v>2262</v>
      </c>
      <c r="BP149" s="1157">
        <v>863</v>
      </c>
      <c r="BQ149" s="1157">
        <v>2941</v>
      </c>
      <c r="BR149" s="1157">
        <v>1171</v>
      </c>
      <c r="BS149" s="1154" t="s">
        <v>3976</v>
      </c>
      <c r="BT149" s="1155">
        <v>0.64528997481041284</v>
      </c>
      <c r="BU149" s="1155">
        <v>0.35471002518958705</v>
      </c>
      <c r="BV149" s="1117"/>
      <c r="BW149" s="1117"/>
      <c r="BX149" s="1117"/>
      <c r="BY149" s="1117"/>
      <c r="BZ149" s="1117"/>
      <c r="CA149" s="1097"/>
      <c r="CB149" s="1097"/>
      <c r="CH149" s="1117"/>
      <c r="CI149" s="1158">
        <v>490.5</v>
      </c>
      <c r="CJ149" s="1158">
        <v>205</v>
      </c>
      <c r="CK149" s="1158">
        <v>1127.5</v>
      </c>
      <c r="CL149" s="1158">
        <v>434</v>
      </c>
      <c r="CM149" s="1158">
        <v>1897.5</v>
      </c>
      <c r="CN149" s="1158">
        <v>730</v>
      </c>
      <c r="CO149" s="1158">
        <v>2764</v>
      </c>
      <c r="CP149" s="1158">
        <v>1042</v>
      </c>
      <c r="CQ149" s="1158">
        <v>3594</v>
      </c>
      <c r="CR149" s="1158">
        <v>1413.5</v>
      </c>
      <c r="CS149" s="1154" t="s">
        <v>3976</v>
      </c>
      <c r="CT149" s="1156">
        <v>0.64564308682789218</v>
      </c>
      <c r="CU149" s="1156">
        <v>0.35435691317210782</v>
      </c>
      <c r="CV149" s="1117"/>
      <c r="CW149" s="1117"/>
      <c r="CX149" s="1117"/>
      <c r="CY149" s="1117"/>
      <c r="CZ149" s="1117"/>
      <c r="DA149" s="1097"/>
      <c r="DB149" s="1097"/>
      <c r="DI149" s="1157">
        <v>588</v>
      </c>
      <c r="DJ149" s="1157">
        <v>240</v>
      </c>
      <c r="DK149" s="1157">
        <v>1306</v>
      </c>
      <c r="DL149" s="1157">
        <v>509</v>
      </c>
      <c r="DM149" s="1157">
        <v>2170</v>
      </c>
      <c r="DN149" s="1157">
        <v>855</v>
      </c>
      <c r="DO149" s="1157">
        <v>3266</v>
      </c>
      <c r="DP149" s="1157">
        <v>1221</v>
      </c>
      <c r="DQ149" s="1157">
        <v>4247</v>
      </c>
      <c r="DR149" s="1157">
        <v>1656</v>
      </c>
      <c r="DS149" s="1154" t="s">
        <v>3976</v>
      </c>
      <c r="DT149" s="1155">
        <v>0.64599619884537141</v>
      </c>
      <c r="DU149" s="1155">
        <v>0.35400380115462859</v>
      </c>
      <c r="DV149" s="1117"/>
      <c r="DW149" s="1117"/>
      <c r="DX149" s="1117"/>
      <c r="DY149" s="1117"/>
      <c r="DZ149" s="1117"/>
      <c r="EA149" s="1097"/>
      <c r="EB149" s="1097"/>
    </row>
    <row r="150" spans="2:132" ht="12.75" x14ac:dyDescent="0.25">
      <c r="L150" s="60" t="e">
        <f t="shared" si="101"/>
        <v>#DIV/0!</v>
      </c>
      <c r="M150" s="60" t="e">
        <f t="shared" si="102"/>
        <v>#DIV/0!</v>
      </c>
      <c r="N150" s="60" t="e">
        <f t="shared" si="103"/>
        <v>#DIV/0!</v>
      </c>
      <c r="AA150" s="1117"/>
      <c r="AB150" s="1112" t="s">
        <v>215</v>
      </c>
      <c r="AC150" s="1104"/>
      <c r="AD150" s="1104"/>
      <c r="AE150" s="1104"/>
      <c r="AF150" s="1104"/>
      <c r="AG150" s="1104"/>
      <c r="AH150" s="1104"/>
      <c r="AI150" s="1104"/>
      <c r="AJ150" s="1104"/>
      <c r="AK150" s="1104"/>
      <c r="AL150" s="1104"/>
      <c r="AM150" s="1104"/>
      <c r="AN150" s="1104"/>
      <c r="AO150" s="1154" t="s">
        <v>3977</v>
      </c>
      <c r="AP150" s="1154"/>
      <c r="AQ150" s="1155">
        <v>0.63610594786664265</v>
      </c>
      <c r="AR150" s="1155"/>
      <c r="AS150" s="1155">
        <v>0.36389405213335724</v>
      </c>
      <c r="AT150" s="1155"/>
      <c r="AU150" s="1117"/>
      <c r="AV150" s="1117"/>
      <c r="AW150" s="1117"/>
      <c r="AX150" s="1117"/>
      <c r="AY150" s="1117"/>
      <c r="AZ150" s="1117"/>
      <c r="BA150" s="1097"/>
      <c r="BB150" s="1097"/>
      <c r="BH150" s="1117"/>
      <c r="BI150" s="1112" t="s">
        <v>215</v>
      </c>
      <c r="BJ150" s="1104"/>
      <c r="BK150" s="1104"/>
      <c r="BL150" s="1104"/>
      <c r="BM150" s="1104"/>
      <c r="BN150" s="1104"/>
      <c r="BO150" s="1104"/>
      <c r="BP150" s="1104"/>
      <c r="BQ150" s="1104"/>
      <c r="BR150" s="1104"/>
      <c r="BS150" s="1154" t="s">
        <v>3977</v>
      </c>
      <c r="BT150" s="1155">
        <v>0.64159692113608657</v>
      </c>
      <c r="BU150" s="1155">
        <v>0.35840307886391365</v>
      </c>
      <c r="BV150" s="1117"/>
      <c r="BW150" s="1117"/>
      <c r="BX150" s="1117"/>
      <c r="BY150" s="1117"/>
      <c r="BZ150" s="1117"/>
      <c r="CA150" s="1097"/>
      <c r="CB150" s="1097"/>
      <c r="CH150" s="1117"/>
      <c r="CI150" s="1112" t="s">
        <v>215</v>
      </c>
      <c r="CJ150" s="1104"/>
      <c r="CK150" s="1104"/>
      <c r="CL150" s="1104"/>
      <c r="CM150" s="1104"/>
      <c r="CN150" s="1104"/>
      <c r="CO150" s="1104"/>
      <c r="CP150" s="1104"/>
      <c r="CQ150" s="1104"/>
      <c r="CR150" s="1104"/>
      <c r="CS150" s="1154" t="s">
        <v>3977</v>
      </c>
      <c r="CT150" s="1156">
        <v>0.63470640469375872</v>
      </c>
      <c r="CU150" s="1156">
        <v>0.36529359530624145</v>
      </c>
      <c r="CV150" s="1117"/>
      <c r="CW150" s="1117"/>
      <c r="CX150" s="1117"/>
      <c r="CY150" s="1117"/>
      <c r="CZ150" s="1117"/>
      <c r="DA150" s="1097"/>
      <c r="DB150" s="1097"/>
      <c r="DI150" s="1112" t="s">
        <v>215</v>
      </c>
      <c r="DJ150" s="1104"/>
      <c r="DK150" s="1104"/>
      <c r="DL150" s="1104"/>
      <c r="DM150" s="1104"/>
      <c r="DN150" s="1104"/>
      <c r="DO150" s="1104"/>
      <c r="DP150" s="1104"/>
      <c r="DQ150" s="1104"/>
      <c r="DR150" s="1104"/>
      <c r="DS150" s="1154" t="s">
        <v>3977</v>
      </c>
      <c r="DT150" s="1155">
        <v>0.62781588825143086</v>
      </c>
      <c r="DU150" s="1155">
        <v>0.37218411174856925</v>
      </c>
      <c r="DV150" s="1117"/>
      <c r="DW150" s="1117"/>
      <c r="DX150" s="1117"/>
      <c r="DY150" s="1117"/>
      <c r="DZ150" s="1117"/>
      <c r="EA150" s="1097"/>
      <c r="EB150" s="1097"/>
    </row>
    <row r="159" spans="2:132" x14ac:dyDescent="0.2">
      <c r="AB159" s="60" t="s">
        <v>953</v>
      </c>
      <c r="AC159" s="60" t="s">
        <v>4154</v>
      </c>
      <c r="BA159" s="60" t="s">
        <v>956</v>
      </c>
      <c r="BI159" s="60" t="s">
        <v>953</v>
      </c>
      <c r="BJ159" s="60" t="s">
        <v>4154</v>
      </c>
      <c r="CA159" s="60" t="s">
        <v>956</v>
      </c>
      <c r="CI159" s="60" t="s">
        <v>953</v>
      </c>
      <c r="CJ159" s="60" t="s">
        <v>4154</v>
      </c>
      <c r="DA159" s="60" t="s">
        <v>956</v>
      </c>
      <c r="DI159" s="60" t="s">
        <v>953</v>
      </c>
      <c r="DJ159" s="60" t="s">
        <v>4154</v>
      </c>
      <c r="EA159" s="60" t="s">
        <v>956</v>
      </c>
    </row>
    <row r="161" spans="1:132" x14ac:dyDescent="0.2">
      <c r="AB161" s="60" t="s">
        <v>4155</v>
      </c>
      <c r="AC161" s="60" t="s">
        <v>4156</v>
      </c>
      <c r="AG161" s="60" t="s">
        <v>4157</v>
      </c>
      <c r="AU161" s="60" t="s">
        <v>910</v>
      </c>
      <c r="BA161" s="60" t="s">
        <v>911</v>
      </c>
      <c r="BI161" s="60" t="s">
        <v>216</v>
      </c>
      <c r="BJ161" s="60" t="s">
        <v>4156</v>
      </c>
      <c r="BN161" s="60" t="s">
        <v>4157</v>
      </c>
      <c r="BV161" s="60" t="s">
        <v>910</v>
      </c>
      <c r="CA161" s="60" t="s">
        <v>217</v>
      </c>
      <c r="CI161" s="60" t="s">
        <v>221</v>
      </c>
      <c r="CJ161" s="60" t="s">
        <v>4156</v>
      </c>
      <c r="CN161" s="60" t="s">
        <v>4157</v>
      </c>
      <c r="CV161" s="60" t="s">
        <v>910</v>
      </c>
      <c r="DA161" s="60" t="s">
        <v>222</v>
      </c>
      <c r="DI161" s="60" t="s">
        <v>228</v>
      </c>
      <c r="DJ161" s="60" t="s">
        <v>229</v>
      </c>
      <c r="DN161" s="60" t="s">
        <v>4157</v>
      </c>
      <c r="DV161" s="60" t="s">
        <v>910</v>
      </c>
      <c r="EA161" s="60" t="s">
        <v>230</v>
      </c>
    </row>
    <row r="162" spans="1:132" x14ac:dyDescent="0.2">
      <c r="AC162" s="60" t="s">
        <v>3988</v>
      </c>
      <c r="AU162" s="60" t="s">
        <v>3989</v>
      </c>
      <c r="BJ162" s="60" t="s">
        <v>3988</v>
      </c>
      <c r="BV162" s="60" t="s">
        <v>3989</v>
      </c>
      <c r="CJ162" s="60" t="s">
        <v>3988</v>
      </c>
      <c r="CV162" s="60" t="s">
        <v>3989</v>
      </c>
      <c r="DJ162" s="60" t="s">
        <v>3988</v>
      </c>
      <c r="DV162" s="60" t="s">
        <v>3989</v>
      </c>
    </row>
    <row r="163" spans="1:132" x14ac:dyDescent="0.2">
      <c r="AB163" s="60" t="s">
        <v>3990</v>
      </c>
      <c r="AI163" s="60" t="s">
        <v>3960</v>
      </c>
      <c r="AW163" s="60" t="s">
        <v>3961</v>
      </c>
      <c r="BI163" s="60" t="s">
        <v>3990</v>
      </c>
      <c r="BP163" s="60" t="s">
        <v>3960</v>
      </c>
      <c r="BW163" s="60" t="s">
        <v>3961</v>
      </c>
      <c r="CI163" s="60" t="s">
        <v>3990</v>
      </c>
      <c r="CP163" s="60" t="s">
        <v>3960</v>
      </c>
      <c r="CW163" s="60" t="s">
        <v>223</v>
      </c>
      <c r="DI163" s="60" t="s">
        <v>3990</v>
      </c>
      <c r="DP163" s="60" t="s">
        <v>3960</v>
      </c>
      <c r="DW163" s="60" t="s">
        <v>3961</v>
      </c>
    </row>
    <row r="164" spans="1:132" x14ac:dyDescent="0.2">
      <c r="A164" s="60" t="e">
        <f>S27</f>
        <v>#DIV/0!</v>
      </c>
      <c r="B164" s="60" t="e">
        <f>IF($A$164=1,BA161,IF($A$164=2,CA161,IF($A$164=3,DA161,IF($A$164=4,EA161))))</f>
        <v>#DIV/0!</v>
      </c>
      <c r="C164" s="60" t="s">
        <v>3894</v>
      </c>
      <c r="AB164" s="60" t="s">
        <v>3962</v>
      </c>
      <c r="AI164" s="60" t="s">
        <v>3962</v>
      </c>
      <c r="AW164" s="60" t="s">
        <v>3962</v>
      </c>
      <c r="BI164" s="60" t="s">
        <v>3962</v>
      </c>
      <c r="BP164" s="60" t="s">
        <v>3962</v>
      </c>
      <c r="BW164" s="60" t="s">
        <v>3962</v>
      </c>
      <c r="CI164" s="60" t="s">
        <v>3962</v>
      </c>
      <c r="CP164" s="60" t="s">
        <v>3962</v>
      </c>
      <c r="CW164" s="60" t="s">
        <v>3962</v>
      </c>
      <c r="DI164" s="60" t="s">
        <v>3962</v>
      </c>
      <c r="DP164" s="60" t="s">
        <v>3962</v>
      </c>
      <c r="DW164" s="60" t="s">
        <v>3962</v>
      </c>
    </row>
    <row r="165" spans="1:132" x14ac:dyDescent="0.2">
      <c r="B165" s="60" t="e">
        <f t="shared" ref="B165:B176" si="105">IF($A$164=1,AB165,IF($A$164=2,BI165,IF($A$164=3,CI165,IF($A$164=4,DI165))))</f>
        <v>#DIV/0!</v>
      </c>
      <c r="C165" s="60" t="e">
        <f t="shared" ref="C165:C176" si="106">IF($A$164=1,AC165,IF($A$164=2,BJ165,IF($A$164=3,CJ165,IF($A$164=4,DJ165))))</f>
        <v>#DIV/0!</v>
      </c>
      <c r="I165" s="60" t="e">
        <f t="shared" ref="I165:I177" si="107">IF($A$164=1,AI165,IF($A$164=2,BP165,IF($A$164=3,CP165,IF($A$164=4,DP165))))</f>
        <v>#DIV/0!</v>
      </c>
      <c r="J165" s="60" t="e">
        <f t="shared" ref="J165:J177" si="108">IF($A$164=1,AK165,IF($A$164=2,BQ165,IF($A$164=3,CQ165,IF($A$164=4,DQ165))))</f>
        <v>#DIV/0!</v>
      </c>
      <c r="P165" s="60" t="e">
        <f t="shared" ref="P165:P173" si="109">IF($A$164=1,AW165,IF($A$164=2,BW165,IF($A$164=3,CW165,IF($A$164=4,DW165))))</f>
        <v>#DIV/0!</v>
      </c>
      <c r="Q165" s="60" t="e">
        <f t="shared" ref="Q165:Q173" si="110">IF($A$164=1,AX165,IF($A$164=2,BX165,IF($A$164=3,CX165,IF($A$164=4,DX165))))</f>
        <v>#DIV/0!</v>
      </c>
      <c r="AB165" s="60" t="s">
        <v>3068</v>
      </c>
      <c r="AC165" s="60" t="s">
        <v>3963</v>
      </c>
      <c r="AI165" s="60" t="s">
        <v>3068</v>
      </c>
      <c r="AK165" s="60" t="s">
        <v>3963</v>
      </c>
      <c r="AW165" s="60" t="s">
        <v>3068</v>
      </c>
      <c r="AX165" s="60" t="s">
        <v>3963</v>
      </c>
      <c r="BI165" s="60" t="s">
        <v>3068</v>
      </c>
      <c r="BJ165" s="60" t="s">
        <v>3963</v>
      </c>
      <c r="BP165" s="60" t="s">
        <v>3068</v>
      </c>
      <c r="BQ165" s="60" t="s">
        <v>3963</v>
      </c>
      <c r="BW165" s="60" t="s">
        <v>3068</v>
      </c>
      <c r="BX165" s="60" t="s">
        <v>3963</v>
      </c>
      <c r="CI165" s="60" t="s">
        <v>3068</v>
      </c>
      <c r="CJ165" s="60" t="s">
        <v>3963</v>
      </c>
      <c r="CP165" s="60" t="s">
        <v>3068</v>
      </c>
      <c r="CQ165" s="60" t="s">
        <v>3963</v>
      </c>
      <c r="CW165" s="60" t="s">
        <v>3068</v>
      </c>
      <c r="CX165" s="60" t="s">
        <v>3963</v>
      </c>
      <c r="DI165" s="60" t="s">
        <v>3068</v>
      </c>
      <c r="DJ165" s="60" t="s">
        <v>3963</v>
      </c>
      <c r="DP165" s="60" t="s">
        <v>3068</v>
      </c>
      <c r="DQ165" s="60" t="s">
        <v>3963</v>
      </c>
      <c r="DW165" s="60" t="s">
        <v>3068</v>
      </c>
      <c r="DX165" s="60" t="s">
        <v>3963</v>
      </c>
    </row>
    <row r="166" spans="1:132" x14ac:dyDescent="0.2">
      <c r="B166" s="60" t="e">
        <f t="shared" si="105"/>
        <v>#DIV/0!</v>
      </c>
      <c r="C166" s="60" t="e">
        <f t="shared" si="106"/>
        <v>#DIV/0!</v>
      </c>
      <c r="D166" s="60" t="e">
        <f t="shared" ref="D166:D176" si="111">IF($A$164=1,AD166,IF($A$164=2,BK166,IF($A$164=3,CK166,IF($A$164=4,DK166))))</f>
        <v>#DIV/0!</v>
      </c>
      <c r="E166" s="60" t="e">
        <f t="shared" ref="E166:E176" si="112">IF($A$164=1,AE166,IF($A$164=2,BL166,IF($A$164=3,CL166,IF($A$164=4,DL166))))</f>
        <v>#DIV/0!</v>
      </c>
      <c r="F166" s="60" t="e">
        <f t="shared" ref="F166:F176" si="113">IF($A$164=1,AF166,IF($A$164=2,BM166,IF($A$164=3,CM166,IF($A$164=4,DM166))))</f>
        <v>#DIV/0!</v>
      </c>
      <c r="G166" s="60" t="e">
        <f t="shared" ref="G166:G176" si="114">IF($A$164=1,AG166,IF($A$164=2,BN166,IF($A$164=3,CN166,IF($A$164=4,DN166))))</f>
        <v>#DIV/0!</v>
      </c>
      <c r="I166" s="60" t="e">
        <f t="shared" si="107"/>
        <v>#DIV/0!</v>
      </c>
      <c r="J166" s="60" t="e">
        <f t="shared" si="108"/>
        <v>#DIV/0!</v>
      </c>
      <c r="K166" s="60" t="e">
        <f t="shared" ref="K166:K177" si="115">IF($A$164=1,AM166,IF($A$164=2,BR166,IF($A$164=3,CR166,IF($A$164=4,DR166))))</f>
        <v>#DIV/0!</v>
      </c>
      <c r="L166" s="60" t="e">
        <f t="shared" ref="L166:L177" si="116">IF($A$164=1,AO166,IF($A$164=2,BS166,IF($A$164=3,CS166,IF($A$164=4,DS166))))</f>
        <v>#DIV/0!</v>
      </c>
      <c r="M166" s="60" t="e">
        <f t="shared" ref="M166:M177" si="117">IF($A$164=1,AQ166,IF($A$164=2,BT166,IF($A$164=3,CT166,IF($A$164=4,DT166))))</f>
        <v>#DIV/0!</v>
      </c>
      <c r="N166" s="60" t="e">
        <f t="shared" ref="N166:N177" si="118">IF($A$164=1,AS166,IF($A$164=2,BU166,IF($A$164=3,CU166,IF($A$164=4,DU166))))</f>
        <v>#DIV/0!</v>
      </c>
      <c r="P166" s="60" t="e">
        <f t="shared" si="109"/>
        <v>#DIV/0!</v>
      </c>
      <c r="Q166" s="60" t="e">
        <f t="shared" si="110"/>
        <v>#DIV/0!</v>
      </c>
      <c r="R166" s="60" t="e">
        <f t="shared" ref="R166:U173" si="119">IF($A$164=1,AY166,IF($A$164=2,BY166,IF($A$164=3,CY166,IF($A$164=4,DY166))))</f>
        <v>#DIV/0!</v>
      </c>
      <c r="S166" s="60" t="e">
        <f t="shared" si="119"/>
        <v>#DIV/0!</v>
      </c>
      <c r="T166" s="60" t="e">
        <f t="shared" si="119"/>
        <v>#DIV/0!</v>
      </c>
      <c r="U166" s="60" t="e">
        <f t="shared" si="119"/>
        <v>#DIV/0!</v>
      </c>
      <c r="AB166" s="60" t="s">
        <v>2760</v>
      </c>
      <c r="AC166" s="60">
        <v>3000</v>
      </c>
      <c r="AD166" s="60">
        <v>6000</v>
      </c>
      <c r="AE166" s="60">
        <v>9000</v>
      </c>
      <c r="AF166" s="60">
        <v>12000</v>
      </c>
      <c r="AG166" s="60">
        <v>15000</v>
      </c>
      <c r="AI166" s="60" t="s">
        <v>2760</v>
      </c>
      <c r="AK166" s="60">
        <v>3000</v>
      </c>
      <c r="AM166" s="60">
        <v>6000</v>
      </c>
      <c r="AO166" s="60">
        <v>9000</v>
      </c>
      <c r="AQ166" s="60">
        <v>12000</v>
      </c>
      <c r="AS166" s="60">
        <v>15000</v>
      </c>
      <c r="AW166" s="60" t="s">
        <v>3964</v>
      </c>
      <c r="AX166" s="60">
        <v>3000</v>
      </c>
      <c r="AY166" s="60">
        <v>6000</v>
      </c>
      <c r="AZ166" s="60">
        <v>9000</v>
      </c>
      <c r="BA166" s="60">
        <v>12000</v>
      </c>
      <c r="BB166" s="60">
        <v>15000</v>
      </c>
      <c r="BI166" s="60" t="s">
        <v>2760</v>
      </c>
      <c r="BJ166" s="60">
        <v>3000</v>
      </c>
      <c r="BK166" s="60">
        <v>6000</v>
      </c>
      <c r="BL166" s="60">
        <v>9000</v>
      </c>
      <c r="BM166" s="60">
        <v>12000</v>
      </c>
      <c r="BN166" s="60">
        <v>15000</v>
      </c>
      <c r="BP166" s="60" t="s">
        <v>2760</v>
      </c>
      <c r="BQ166" s="60">
        <v>3000</v>
      </c>
      <c r="BR166" s="60">
        <v>6000</v>
      </c>
      <c r="BS166" s="60">
        <v>9000</v>
      </c>
      <c r="BT166" s="60">
        <v>12000</v>
      </c>
      <c r="BU166" s="60">
        <v>15000</v>
      </c>
      <c r="BW166" s="60" t="s">
        <v>3964</v>
      </c>
      <c r="BX166" s="60">
        <v>3000</v>
      </c>
      <c r="BY166" s="60">
        <v>6000</v>
      </c>
      <c r="BZ166" s="60">
        <v>9000</v>
      </c>
      <c r="CA166" s="60">
        <v>12000</v>
      </c>
      <c r="CB166" s="60">
        <v>15000</v>
      </c>
      <c r="CI166" s="60" t="s">
        <v>2760</v>
      </c>
      <c r="CJ166" s="60">
        <v>3000</v>
      </c>
      <c r="CK166" s="60">
        <v>6000</v>
      </c>
      <c r="CL166" s="60">
        <v>9000</v>
      </c>
      <c r="CM166" s="60">
        <v>12000</v>
      </c>
      <c r="CN166" s="60">
        <v>15000</v>
      </c>
      <c r="CP166" s="60" t="s">
        <v>2760</v>
      </c>
      <c r="CQ166" s="60">
        <v>3000</v>
      </c>
      <c r="CR166" s="60">
        <v>6000</v>
      </c>
      <c r="CS166" s="60">
        <v>9000</v>
      </c>
      <c r="CT166" s="60">
        <v>12000</v>
      </c>
      <c r="CU166" s="60">
        <v>15000</v>
      </c>
      <c r="CW166" s="60" t="s">
        <v>3472</v>
      </c>
      <c r="CX166" s="60">
        <v>3000</v>
      </c>
      <c r="CY166" s="60">
        <v>6000</v>
      </c>
      <c r="CZ166" s="60">
        <v>9000</v>
      </c>
      <c r="DA166" s="60">
        <v>12000</v>
      </c>
      <c r="DB166" s="60">
        <v>15000</v>
      </c>
      <c r="DI166" s="60" t="s">
        <v>2760</v>
      </c>
      <c r="DJ166" s="60">
        <v>3000</v>
      </c>
      <c r="DK166" s="60">
        <v>6000</v>
      </c>
      <c r="DL166" s="60">
        <v>9000</v>
      </c>
      <c r="DM166" s="60">
        <v>12000</v>
      </c>
      <c r="DN166" s="60">
        <v>15000</v>
      </c>
      <c r="DP166" s="60" t="s">
        <v>2760</v>
      </c>
      <c r="DQ166" s="60">
        <v>3000</v>
      </c>
      <c r="DR166" s="60">
        <v>6000</v>
      </c>
      <c r="DS166" s="60">
        <v>9000</v>
      </c>
      <c r="DT166" s="60">
        <v>12000</v>
      </c>
      <c r="DU166" s="60">
        <v>15000</v>
      </c>
      <c r="DW166" s="60" t="s">
        <v>3964</v>
      </c>
      <c r="DX166" s="60">
        <v>3000</v>
      </c>
      <c r="DY166" s="60">
        <v>6000</v>
      </c>
      <c r="DZ166" s="60">
        <v>9000</v>
      </c>
      <c r="EA166" s="60">
        <v>12000</v>
      </c>
      <c r="EB166" s="60">
        <v>15000</v>
      </c>
    </row>
    <row r="167" spans="1:132" x14ac:dyDescent="0.2">
      <c r="B167" s="60" t="e">
        <f t="shared" si="105"/>
        <v>#DIV/0!</v>
      </c>
      <c r="C167" s="60" t="e">
        <f t="shared" si="106"/>
        <v>#DIV/0!</v>
      </c>
      <c r="D167" s="60" t="e">
        <f t="shared" si="111"/>
        <v>#DIV/0!</v>
      </c>
      <c r="E167" s="60" t="e">
        <f t="shared" si="112"/>
        <v>#DIV/0!</v>
      </c>
      <c r="F167" s="60" t="e">
        <f t="shared" si="113"/>
        <v>#DIV/0!</v>
      </c>
      <c r="G167" s="60" t="e">
        <f t="shared" si="114"/>
        <v>#DIV/0!</v>
      </c>
      <c r="I167" s="60" t="e">
        <f t="shared" si="107"/>
        <v>#DIV/0!</v>
      </c>
      <c r="J167" s="60" t="e">
        <f t="shared" si="108"/>
        <v>#DIV/0!</v>
      </c>
      <c r="K167" s="60" t="e">
        <f t="shared" si="115"/>
        <v>#DIV/0!</v>
      </c>
      <c r="L167" s="60" t="e">
        <f t="shared" si="116"/>
        <v>#DIV/0!</v>
      </c>
      <c r="M167" s="60" t="e">
        <f t="shared" si="117"/>
        <v>#DIV/0!</v>
      </c>
      <c r="N167" s="60" t="e">
        <f t="shared" si="118"/>
        <v>#DIV/0!</v>
      </c>
      <c r="P167" s="60" t="e">
        <f t="shared" si="109"/>
        <v>#DIV/0!</v>
      </c>
      <c r="Q167" s="60" t="e">
        <f t="shared" si="110"/>
        <v>#DIV/0!</v>
      </c>
      <c r="R167" s="60" t="e">
        <f t="shared" si="119"/>
        <v>#DIV/0!</v>
      </c>
      <c r="S167" s="60" t="e">
        <f t="shared" si="119"/>
        <v>#DIV/0!</v>
      </c>
      <c r="T167" s="60" t="e">
        <f t="shared" si="119"/>
        <v>#DIV/0!</v>
      </c>
      <c r="U167" s="60" t="e">
        <f t="shared" si="119"/>
        <v>#DIV/0!</v>
      </c>
      <c r="AB167" s="60">
        <v>-20</v>
      </c>
      <c r="AC167" s="60">
        <v>0.32550000000000001</v>
      </c>
      <c r="AD167" s="60">
        <v>0.35712499999999997</v>
      </c>
      <c r="AE167" s="60">
        <v>0.38874999999999998</v>
      </c>
      <c r="AF167" s="60">
        <v>0.42037499999999994</v>
      </c>
      <c r="AG167" s="60">
        <v>0.45199999999999996</v>
      </c>
      <c r="AI167" s="60">
        <v>60</v>
      </c>
      <c r="AK167" s="60">
        <v>3.0000000000000075E-2</v>
      </c>
      <c r="AM167" s="60">
        <v>3.7000000000000074E-2</v>
      </c>
      <c r="AO167" s="60">
        <v>4.4000000000000081E-2</v>
      </c>
      <c r="AQ167" s="60">
        <v>5.100000000000008E-2</v>
      </c>
      <c r="AS167" s="60">
        <v>5.8000000000000079E-2</v>
      </c>
      <c r="AW167" s="60">
        <v>10</v>
      </c>
      <c r="AX167" s="60">
        <v>566</v>
      </c>
      <c r="AY167" s="60">
        <v>1427.5</v>
      </c>
      <c r="AZ167" s="60">
        <v>2289</v>
      </c>
      <c r="BA167" s="60">
        <v>3150.5</v>
      </c>
      <c r="BB167" s="60">
        <v>4012</v>
      </c>
      <c r="BI167" s="60">
        <v>-20</v>
      </c>
      <c r="BJ167" s="60">
        <v>0.20449999999999996</v>
      </c>
      <c r="BK167" s="60">
        <v>0.23</v>
      </c>
      <c r="BL167" s="60">
        <v>0.25549999999999995</v>
      </c>
      <c r="BM167" s="60">
        <v>0.28099999999999997</v>
      </c>
      <c r="BN167" s="60">
        <v>0.30649999999999999</v>
      </c>
      <c r="BP167" s="60">
        <v>60</v>
      </c>
      <c r="BQ167" s="60">
        <v>1.6000000000000014E-2</v>
      </c>
      <c r="BR167" s="60">
        <v>2.1250000000000002E-2</v>
      </c>
      <c r="BS167" s="60">
        <v>2.650000000000002E-2</v>
      </c>
      <c r="BT167" s="60">
        <v>3.1750000000000021E-2</v>
      </c>
      <c r="BU167" s="60">
        <v>3.7000000000000026E-2</v>
      </c>
      <c r="BW167" s="60">
        <v>10</v>
      </c>
      <c r="BX167" s="60">
        <v>675</v>
      </c>
      <c r="BY167" s="60">
        <v>1808.25</v>
      </c>
      <c r="BZ167" s="60">
        <v>2941.5</v>
      </c>
      <c r="CA167" s="60">
        <v>4074.75</v>
      </c>
      <c r="CB167" s="60">
        <v>5208</v>
      </c>
      <c r="CI167" s="60">
        <v>-20</v>
      </c>
      <c r="CJ167" s="60">
        <v>0.17699999999999999</v>
      </c>
      <c r="CK167" s="60">
        <v>0.19918749999999999</v>
      </c>
      <c r="CL167" s="60">
        <v>0.22137499999999996</v>
      </c>
      <c r="CM167" s="60">
        <v>0.24356249999999996</v>
      </c>
      <c r="CN167" s="60">
        <v>0.26574999999999999</v>
      </c>
      <c r="CP167" s="60">
        <v>60</v>
      </c>
      <c r="CQ167" s="60">
        <v>1.4999999999999999E-2</v>
      </c>
      <c r="CR167" s="60">
        <v>1.9499999999999997E-2</v>
      </c>
      <c r="CS167" s="60">
        <v>2.4E-2</v>
      </c>
      <c r="CT167" s="60">
        <v>2.8500000000000004E-2</v>
      </c>
      <c r="CU167" s="60">
        <v>3.3000000000000002E-2</v>
      </c>
      <c r="CW167" s="60">
        <v>10</v>
      </c>
      <c r="CX167" s="60">
        <v>814</v>
      </c>
      <c r="CY167" s="60">
        <v>2169</v>
      </c>
      <c r="CZ167" s="60">
        <v>3524</v>
      </c>
      <c r="DA167" s="60">
        <v>4879</v>
      </c>
      <c r="DB167" s="60">
        <v>6234</v>
      </c>
      <c r="DI167" s="60">
        <v>-20</v>
      </c>
      <c r="DJ167" s="60">
        <v>0.14949999999999999</v>
      </c>
      <c r="DK167" s="60">
        <v>0.16837499999999997</v>
      </c>
      <c r="DL167" s="60">
        <v>0.18724999999999997</v>
      </c>
      <c r="DM167" s="60">
        <v>0.20612499999999995</v>
      </c>
      <c r="DN167" s="60">
        <v>0.22500000000000001</v>
      </c>
      <c r="DP167" s="60">
        <v>60</v>
      </c>
      <c r="DQ167" s="60">
        <v>1.3999999999999992E-2</v>
      </c>
      <c r="DR167" s="60">
        <v>1.7749999999999988E-2</v>
      </c>
      <c r="DS167" s="60">
        <v>2.1499999999999984E-2</v>
      </c>
      <c r="DT167" s="60">
        <v>2.5249999999999984E-2</v>
      </c>
      <c r="DU167" s="60">
        <v>2.8999999999999981E-2</v>
      </c>
      <c r="DW167" s="60">
        <v>10</v>
      </c>
      <c r="DX167" s="60">
        <v>953</v>
      </c>
      <c r="DY167" s="60">
        <v>2529.75</v>
      </c>
      <c r="DZ167" s="60">
        <v>4106.5</v>
      </c>
      <c r="EA167" s="60">
        <v>5683.25</v>
      </c>
      <c r="EB167" s="60">
        <v>7260</v>
      </c>
    </row>
    <row r="168" spans="1:132" x14ac:dyDescent="0.2">
      <c r="B168" s="60" t="e">
        <f t="shared" si="105"/>
        <v>#DIV/0!</v>
      </c>
      <c r="C168" s="60" t="e">
        <f t="shared" si="106"/>
        <v>#DIV/0!</v>
      </c>
      <c r="D168" s="60" t="e">
        <f t="shared" si="111"/>
        <v>#DIV/0!</v>
      </c>
      <c r="E168" s="60" t="e">
        <f t="shared" si="112"/>
        <v>#DIV/0!</v>
      </c>
      <c r="F168" s="60" t="e">
        <f t="shared" si="113"/>
        <v>#DIV/0!</v>
      </c>
      <c r="G168" s="60" t="e">
        <f t="shared" si="114"/>
        <v>#DIV/0!</v>
      </c>
      <c r="I168" s="60" t="e">
        <f t="shared" si="107"/>
        <v>#DIV/0!</v>
      </c>
      <c r="J168" s="60" t="e">
        <f t="shared" si="108"/>
        <v>#DIV/0!</v>
      </c>
      <c r="K168" s="60" t="e">
        <f t="shared" si="115"/>
        <v>#DIV/0!</v>
      </c>
      <c r="L168" s="60" t="e">
        <f t="shared" si="116"/>
        <v>#DIV/0!</v>
      </c>
      <c r="M168" s="60" t="e">
        <f t="shared" si="117"/>
        <v>#DIV/0!</v>
      </c>
      <c r="N168" s="60" t="e">
        <f t="shared" si="118"/>
        <v>#DIV/0!</v>
      </c>
      <c r="P168" s="60" t="e">
        <f t="shared" si="109"/>
        <v>#DIV/0!</v>
      </c>
      <c r="Q168" s="60" t="e">
        <f t="shared" si="110"/>
        <v>#DIV/0!</v>
      </c>
      <c r="R168" s="60" t="e">
        <f t="shared" si="119"/>
        <v>#DIV/0!</v>
      </c>
      <c r="S168" s="60" t="e">
        <f t="shared" si="119"/>
        <v>#DIV/0!</v>
      </c>
      <c r="T168" s="60" t="e">
        <f t="shared" si="119"/>
        <v>#DIV/0!</v>
      </c>
      <c r="U168" s="60" t="e">
        <f t="shared" si="119"/>
        <v>#DIV/0!</v>
      </c>
      <c r="AB168" s="60">
        <v>-10</v>
      </c>
      <c r="AC168" s="60">
        <v>0.29966666666666669</v>
      </c>
      <c r="AD168" s="60">
        <v>0.32883333333333331</v>
      </c>
      <c r="AE168" s="60">
        <v>0.35799999999999998</v>
      </c>
      <c r="AF168" s="60">
        <v>0.38716666666666666</v>
      </c>
      <c r="AG168" s="60">
        <v>0.41633333333333328</v>
      </c>
      <c r="AI168" s="60">
        <v>70</v>
      </c>
      <c r="AK168" s="60">
        <v>6.8700000000000053E-2</v>
      </c>
      <c r="AM168" s="60">
        <v>7.9450000000000062E-2</v>
      </c>
      <c r="AO168" s="60">
        <v>9.0200000000000058E-2</v>
      </c>
      <c r="AQ168" s="60">
        <v>0.10095000000000007</v>
      </c>
      <c r="AS168" s="60">
        <v>0.11170000000000005</v>
      </c>
      <c r="AW168" s="60">
        <v>20</v>
      </c>
      <c r="AX168" s="60">
        <v>770.66666666666697</v>
      </c>
      <c r="AY168" s="60">
        <v>1938.0416666666672</v>
      </c>
      <c r="AZ168" s="60">
        <v>3105.416666666667</v>
      </c>
      <c r="BA168" s="60">
        <v>4272.7916666666679</v>
      </c>
      <c r="BB168" s="60">
        <v>5440.1666666666679</v>
      </c>
      <c r="BI168" s="60">
        <v>-10</v>
      </c>
      <c r="BJ168" s="60">
        <v>0.18766666666666665</v>
      </c>
      <c r="BK168" s="60">
        <v>0.21124999999999999</v>
      </c>
      <c r="BL168" s="60">
        <v>0.23483333333333331</v>
      </c>
      <c r="BM168" s="60">
        <v>0.25841666666666663</v>
      </c>
      <c r="BN168" s="60">
        <v>0.28199999999999997</v>
      </c>
      <c r="BP168" s="60">
        <v>70</v>
      </c>
      <c r="BQ168" s="60">
        <v>4.0899999999999999E-2</v>
      </c>
      <c r="BR168" s="60">
        <v>4.9000000000000002E-2</v>
      </c>
      <c r="BS168" s="60">
        <v>5.7099999999999998E-2</v>
      </c>
      <c r="BT168" s="60">
        <v>6.5200000000000008E-2</v>
      </c>
      <c r="BU168" s="60">
        <v>7.3300000000000004E-2</v>
      </c>
      <c r="BW168" s="60">
        <v>20</v>
      </c>
      <c r="BX168" s="60">
        <v>941</v>
      </c>
      <c r="BY168" s="60">
        <v>2493.708333333333</v>
      </c>
      <c r="BZ168" s="60">
        <v>4046.4166666666665</v>
      </c>
      <c r="CA168" s="60">
        <v>5599.125</v>
      </c>
      <c r="CB168" s="60">
        <v>7151.8333333333321</v>
      </c>
      <c r="CI168" s="60">
        <v>-10</v>
      </c>
      <c r="CJ168" s="60">
        <v>0.16250000000000001</v>
      </c>
      <c r="CK168" s="60">
        <v>0.18304166666666666</v>
      </c>
      <c r="CL168" s="60">
        <v>0.20358333333333331</v>
      </c>
      <c r="CM168" s="60">
        <v>0.22412499999999996</v>
      </c>
      <c r="CN168" s="60">
        <v>0.24466666666666664</v>
      </c>
      <c r="CP168" s="60">
        <v>70</v>
      </c>
      <c r="CQ168" s="60">
        <v>3.6499999999999991E-2</v>
      </c>
      <c r="CR168" s="60">
        <v>4.3462499999999994E-2</v>
      </c>
      <c r="CS168" s="60">
        <v>5.0424999999999998E-2</v>
      </c>
      <c r="CT168" s="60">
        <v>5.7387499999999994E-2</v>
      </c>
      <c r="CU168" s="60">
        <v>6.4349999999999991E-2</v>
      </c>
      <c r="CW168" s="60">
        <v>20</v>
      </c>
      <c r="CX168" s="60">
        <v>1127.9166666666667</v>
      </c>
      <c r="CY168" s="60">
        <v>2979.6666666666661</v>
      </c>
      <c r="CZ168" s="60">
        <v>4831.4166666666661</v>
      </c>
      <c r="DA168" s="60">
        <v>6683.1666666666661</v>
      </c>
      <c r="DB168" s="60">
        <v>8534.9166666666661</v>
      </c>
      <c r="DI168" s="60">
        <v>-10</v>
      </c>
      <c r="DJ168" s="60">
        <v>0.13733333333333334</v>
      </c>
      <c r="DK168" s="60">
        <v>0.15483333333333332</v>
      </c>
      <c r="DL168" s="60">
        <v>0.17233333333333331</v>
      </c>
      <c r="DM168" s="60">
        <v>0.1898333333333333</v>
      </c>
      <c r="DN168" s="60">
        <v>0.20733333333333331</v>
      </c>
      <c r="DP168" s="60">
        <v>70</v>
      </c>
      <c r="DQ168" s="60">
        <v>3.209999999999999E-2</v>
      </c>
      <c r="DR168" s="60">
        <v>3.7924999999999986E-2</v>
      </c>
      <c r="DS168" s="60">
        <v>4.3749999999999997E-2</v>
      </c>
      <c r="DT168" s="60">
        <v>4.9574999999999987E-2</v>
      </c>
      <c r="DU168" s="60">
        <v>5.5399999999999984E-2</v>
      </c>
      <c r="DW168" s="60">
        <v>20</v>
      </c>
      <c r="DX168" s="60">
        <v>1314.8333333333335</v>
      </c>
      <c r="DY168" s="60">
        <v>3465.6249999999995</v>
      </c>
      <c r="DZ168" s="60">
        <v>5616.4166666666661</v>
      </c>
      <c r="EA168" s="60">
        <v>7767.2083333333321</v>
      </c>
      <c r="EB168" s="60">
        <v>9918</v>
      </c>
    </row>
    <row r="169" spans="1:132" x14ac:dyDescent="0.2">
      <c r="B169" s="60" t="e">
        <f t="shared" si="105"/>
        <v>#DIV/0!</v>
      </c>
      <c r="C169" s="60" t="e">
        <f t="shared" si="106"/>
        <v>#DIV/0!</v>
      </c>
      <c r="D169" s="60" t="e">
        <f t="shared" si="111"/>
        <v>#DIV/0!</v>
      </c>
      <c r="E169" s="60" t="e">
        <f t="shared" si="112"/>
        <v>#DIV/0!</v>
      </c>
      <c r="F169" s="60" t="e">
        <f t="shared" si="113"/>
        <v>#DIV/0!</v>
      </c>
      <c r="G169" s="60" t="e">
        <f t="shared" si="114"/>
        <v>#DIV/0!</v>
      </c>
      <c r="I169" s="60" t="e">
        <f t="shared" si="107"/>
        <v>#DIV/0!</v>
      </c>
      <c r="J169" s="60" t="e">
        <f t="shared" si="108"/>
        <v>#DIV/0!</v>
      </c>
      <c r="K169" s="60" t="e">
        <f t="shared" si="115"/>
        <v>#DIV/0!</v>
      </c>
      <c r="L169" s="60" t="e">
        <f t="shared" si="116"/>
        <v>#DIV/0!</v>
      </c>
      <c r="M169" s="60" t="e">
        <f t="shared" si="117"/>
        <v>#DIV/0!</v>
      </c>
      <c r="N169" s="60" t="e">
        <f t="shared" si="118"/>
        <v>#DIV/0!</v>
      </c>
      <c r="P169" s="60" t="e">
        <f t="shared" si="109"/>
        <v>#DIV/0!</v>
      </c>
      <c r="Q169" s="60" t="e">
        <f t="shared" si="110"/>
        <v>#DIV/0!</v>
      </c>
      <c r="R169" s="60" t="e">
        <f t="shared" si="119"/>
        <v>#DIV/0!</v>
      </c>
      <c r="S169" s="60" t="e">
        <f t="shared" si="119"/>
        <v>#DIV/0!</v>
      </c>
      <c r="T169" s="60" t="e">
        <f t="shared" si="119"/>
        <v>#DIV/0!</v>
      </c>
      <c r="U169" s="60" t="e">
        <f t="shared" si="119"/>
        <v>#DIV/0!</v>
      </c>
      <c r="AB169" s="60">
        <v>0</v>
      </c>
      <c r="AC169" s="60">
        <v>0.27383333333333332</v>
      </c>
      <c r="AD169" s="60">
        <v>0.30054166666666665</v>
      </c>
      <c r="AE169" s="60">
        <v>0.32724999999999999</v>
      </c>
      <c r="AF169" s="60">
        <v>0.35395833333333332</v>
      </c>
      <c r="AG169" s="60">
        <v>0.3806666666666666</v>
      </c>
      <c r="AI169" s="60">
        <v>80</v>
      </c>
      <c r="AK169" s="60">
        <v>0.10740000000000004</v>
      </c>
      <c r="AM169" s="60">
        <v>0.12190000000000004</v>
      </c>
      <c r="AO169" s="60">
        <v>0.13640000000000002</v>
      </c>
      <c r="AQ169" s="60">
        <v>0.15090000000000003</v>
      </c>
      <c r="AS169" s="60">
        <v>0.16540000000000005</v>
      </c>
      <c r="AW169" s="60">
        <v>30</v>
      </c>
      <c r="AX169" s="60">
        <v>975.3333333333336</v>
      </c>
      <c r="AY169" s="60">
        <v>2448.5833333333339</v>
      </c>
      <c r="AZ169" s="60">
        <v>3921.8333333333344</v>
      </c>
      <c r="BA169" s="60">
        <v>5395.0833333333339</v>
      </c>
      <c r="BB169" s="60">
        <v>6868.3333333333348</v>
      </c>
      <c r="BI169" s="60">
        <v>0</v>
      </c>
      <c r="BJ169" s="60">
        <v>0.17083333333333331</v>
      </c>
      <c r="BK169" s="60">
        <v>0.1925</v>
      </c>
      <c r="BL169" s="60">
        <v>0.21416666666666664</v>
      </c>
      <c r="BM169" s="60">
        <v>0.23583333333333331</v>
      </c>
      <c r="BN169" s="60">
        <v>0.25750000000000001</v>
      </c>
      <c r="BP169" s="60">
        <v>80</v>
      </c>
      <c r="BQ169" s="60">
        <v>6.5800000000000011E-2</v>
      </c>
      <c r="BR169" s="60">
        <v>7.6750000000000013E-2</v>
      </c>
      <c r="BS169" s="60">
        <v>8.7700000000000014E-2</v>
      </c>
      <c r="BT169" s="60">
        <v>9.8650000000000015E-2</v>
      </c>
      <c r="BU169" s="60">
        <v>0.10960000000000002</v>
      </c>
      <c r="BW169" s="60">
        <v>30</v>
      </c>
      <c r="BX169" s="60">
        <v>1207</v>
      </c>
      <c r="BY169" s="60">
        <v>3179.1666666666661</v>
      </c>
      <c r="BZ169" s="60">
        <v>5151.3333333333321</v>
      </c>
      <c r="CA169" s="60">
        <v>7123.5</v>
      </c>
      <c r="CB169" s="60">
        <v>9095.6666666666661</v>
      </c>
      <c r="CI169" s="60">
        <v>0</v>
      </c>
      <c r="CJ169" s="60">
        <v>0.14799999999999996</v>
      </c>
      <c r="CK169" s="60">
        <v>0.16689583333333333</v>
      </c>
      <c r="CL169" s="60">
        <v>0.18579166666666663</v>
      </c>
      <c r="CM169" s="60">
        <v>0.20468749999999999</v>
      </c>
      <c r="CN169" s="60">
        <v>0.22358333333333333</v>
      </c>
      <c r="CP169" s="60">
        <v>80</v>
      </c>
      <c r="CQ169" s="60">
        <v>5.800000000000001E-2</v>
      </c>
      <c r="CR169" s="60">
        <v>6.7425000000000013E-2</v>
      </c>
      <c r="CS169" s="60">
        <v>7.6850000000000002E-2</v>
      </c>
      <c r="CT169" s="60">
        <v>8.6275000000000004E-2</v>
      </c>
      <c r="CU169" s="60">
        <v>9.5700000000000007E-2</v>
      </c>
      <c r="CW169" s="60">
        <v>30</v>
      </c>
      <c r="CX169" s="60">
        <v>1441.8333333333335</v>
      </c>
      <c r="CY169" s="60">
        <v>3790.333333333333</v>
      </c>
      <c r="CZ169" s="60">
        <v>6138.8333333333321</v>
      </c>
      <c r="DA169" s="60">
        <v>8487.3333333333321</v>
      </c>
      <c r="DB169" s="60">
        <v>10835.833333333332</v>
      </c>
      <c r="DI169" s="60">
        <v>0</v>
      </c>
      <c r="DJ169" s="60">
        <v>0.12516666666666665</v>
      </c>
      <c r="DK169" s="60">
        <v>0.14129166666666665</v>
      </c>
      <c r="DL169" s="60">
        <v>0.15741666666666665</v>
      </c>
      <c r="DM169" s="60">
        <v>0.17354166666666665</v>
      </c>
      <c r="DN169" s="60">
        <v>0.18966666666666665</v>
      </c>
      <c r="DP169" s="60">
        <v>80</v>
      </c>
      <c r="DQ169" s="60">
        <v>5.0200000000000002E-2</v>
      </c>
      <c r="DR169" s="60">
        <v>5.8099999999999999E-2</v>
      </c>
      <c r="DS169" s="60">
        <v>6.6000000000000003E-2</v>
      </c>
      <c r="DT169" s="60">
        <v>7.3899999999999993E-2</v>
      </c>
      <c r="DU169" s="60">
        <v>8.1799999999999984E-2</v>
      </c>
      <c r="DW169" s="60">
        <v>30</v>
      </c>
      <c r="DX169" s="60">
        <v>1676.666666666667</v>
      </c>
      <c r="DY169" s="60">
        <v>4401.5</v>
      </c>
      <c r="DZ169" s="60">
        <v>7126.333333333333</v>
      </c>
      <c r="EA169" s="60">
        <v>9851.1666666666661</v>
      </c>
      <c r="EB169" s="60">
        <v>12576</v>
      </c>
    </row>
    <row r="170" spans="1:132" x14ac:dyDescent="0.2">
      <c r="B170" s="60" t="e">
        <f t="shared" si="105"/>
        <v>#DIV/0!</v>
      </c>
      <c r="C170" s="60" t="e">
        <f t="shared" si="106"/>
        <v>#DIV/0!</v>
      </c>
      <c r="D170" s="60" t="e">
        <f t="shared" si="111"/>
        <v>#DIV/0!</v>
      </c>
      <c r="E170" s="60" t="e">
        <f t="shared" si="112"/>
        <v>#DIV/0!</v>
      </c>
      <c r="F170" s="60" t="e">
        <f t="shared" si="113"/>
        <v>#DIV/0!</v>
      </c>
      <c r="G170" s="60" t="e">
        <f t="shared" si="114"/>
        <v>#DIV/0!</v>
      </c>
      <c r="I170" s="60" t="e">
        <f t="shared" si="107"/>
        <v>#DIV/0!</v>
      </c>
      <c r="J170" s="60" t="e">
        <f t="shared" si="108"/>
        <v>#DIV/0!</v>
      </c>
      <c r="K170" s="60" t="e">
        <f t="shared" si="115"/>
        <v>#DIV/0!</v>
      </c>
      <c r="L170" s="60" t="e">
        <f t="shared" si="116"/>
        <v>#DIV/0!</v>
      </c>
      <c r="M170" s="60" t="e">
        <f t="shared" si="117"/>
        <v>#DIV/0!</v>
      </c>
      <c r="N170" s="60" t="e">
        <f t="shared" si="118"/>
        <v>#DIV/0!</v>
      </c>
      <c r="P170" s="60" t="e">
        <f t="shared" si="109"/>
        <v>#DIV/0!</v>
      </c>
      <c r="Q170" s="60" t="e">
        <f t="shared" si="110"/>
        <v>#DIV/0!</v>
      </c>
      <c r="R170" s="60" t="e">
        <f t="shared" si="119"/>
        <v>#DIV/0!</v>
      </c>
      <c r="S170" s="60" t="e">
        <f t="shared" si="119"/>
        <v>#DIV/0!</v>
      </c>
      <c r="T170" s="60" t="e">
        <f t="shared" si="119"/>
        <v>#DIV/0!</v>
      </c>
      <c r="U170" s="60" t="e">
        <f t="shared" si="119"/>
        <v>#DIV/0!</v>
      </c>
      <c r="AB170" s="60">
        <v>10</v>
      </c>
      <c r="AC170" s="60">
        <v>0.248</v>
      </c>
      <c r="AD170" s="60">
        <v>0.27224999999999999</v>
      </c>
      <c r="AE170" s="60">
        <v>0.29649999999999999</v>
      </c>
      <c r="AF170" s="60">
        <v>0.32074999999999998</v>
      </c>
      <c r="AG170" s="60">
        <v>0.34499999999999997</v>
      </c>
      <c r="AI170" s="60">
        <v>90</v>
      </c>
      <c r="AK170" s="60">
        <v>0.14610000000000006</v>
      </c>
      <c r="AM170" s="60">
        <v>0.16435000000000008</v>
      </c>
      <c r="AO170" s="60">
        <v>0.18260000000000007</v>
      </c>
      <c r="AQ170" s="60">
        <v>0.20085000000000008</v>
      </c>
      <c r="AS170" s="60">
        <v>0.21910000000000007</v>
      </c>
      <c r="AW170" s="60">
        <v>40</v>
      </c>
      <c r="AX170" s="60">
        <v>1180</v>
      </c>
      <c r="AY170" s="60">
        <v>2959.125</v>
      </c>
      <c r="AZ170" s="60">
        <v>4738.25</v>
      </c>
      <c r="BA170" s="60">
        <v>6517.375</v>
      </c>
      <c r="BB170" s="60">
        <v>8296.5</v>
      </c>
      <c r="BI170" s="60">
        <v>10</v>
      </c>
      <c r="BJ170" s="60">
        <v>0.15399999999999997</v>
      </c>
      <c r="BK170" s="60">
        <v>0.17374999999999999</v>
      </c>
      <c r="BL170" s="60">
        <v>0.19349999999999998</v>
      </c>
      <c r="BM170" s="60">
        <v>0.21325</v>
      </c>
      <c r="BN170" s="60">
        <v>0.23299999999999998</v>
      </c>
      <c r="BP170" s="60">
        <v>90</v>
      </c>
      <c r="BQ170" s="60">
        <v>9.0700000000000003E-2</v>
      </c>
      <c r="BR170" s="60">
        <v>0.10450000000000001</v>
      </c>
      <c r="BS170" s="60">
        <v>0.11830000000000002</v>
      </c>
      <c r="BT170" s="60">
        <v>0.13210000000000002</v>
      </c>
      <c r="BU170" s="60">
        <v>0.14590000000000003</v>
      </c>
      <c r="BW170" s="60">
        <v>40</v>
      </c>
      <c r="BX170" s="60">
        <v>1473</v>
      </c>
      <c r="BY170" s="60">
        <v>3864.625</v>
      </c>
      <c r="BZ170" s="60">
        <v>6256.25</v>
      </c>
      <c r="CA170" s="60">
        <v>8647.875</v>
      </c>
      <c r="CB170" s="60">
        <v>11039.5</v>
      </c>
      <c r="CI170" s="60">
        <v>10</v>
      </c>
      <c r="CJ170" s="60">
        <v>0.13349999999999998</v>
      </c>
      <c r="CK170" s="60">
        <v>0.15075</v>
      </c>
      <c r="CL170" s="60">
        <v>0.16799999999999998</v>
      </c>
      <c r="CM170" s="60">
        <v>0.18524999999999997</v>
      </c>
      <c r="CN170" s="60">
        <v>0.20250000000000001</v>
      </c>
      <c r="CP170" s="60">
        <v>90</v>
      </c>
      <c r="CQ170" s="60">
        <v>7.9500000000000015E-2</v>
      </c>
      <c r="CR170" s="60">
        <v>9.138750000000001E-2</v>
      </c>
      <c r="CS170" s="60">
        <v>0.10327500000000001</v>
      </c>
      <c r="CT170" s="60">
        <v>0.11516250000000001</v>
      </c>
      <c r="CU170" s="60">
        <v>0.12705</v>
      </c>
      <c r="CW170" s="60">
        <v>40</v>
      </c>
      <c r="CX170" s="60">
        <v>1755.75</v>
      </c>
      <c r="CY170" s="60">
        <v>4601</v>
      </c>
      <c r="CZ170" s="60">
        <v>7446.25</v>
      </c>
      <c r="DA170" s="60">
        <v>10291.5</v>
      </c>
      <c r="DB170" s="60">
        <v>13136.75</v>
      </c>
      <c r="DI170" s="60">
        <v>10</v>
      </c>
      <c r="DJ170" s="60">
        <v>0.11299999999999999</v>
      </c>
      <c r="DK170" s="60">
        <v>0.12774999999999997</v>
      </c>
      <c r="DL170" s="60">
        <v>0.14249999999999999</v>
      </c>
      <c r="DM170" s="60">
        <v>0.15724999999999997</v>
      </c>
      <c r="DN170" s="60">
        <v>0.17199999999999999</v>
      </c>
      <c r="DP170" s="60">
        <v>90</v>
      </c>
      <c r="DQ170" s="60">
        <v>6.8300000000000013E-2</v>
      </c>
      <c r="DR170" s="60">
        <v>7.8275000000000011E-2</v>
      </c>
      <c r="DS170" s="60">
        <v>8.8249999999999995E-2</v>
      </c>
      <c r="DT170" s="60">
        <v>9.8225000000000007E-2</v>
      </c>
      <c r="DU170" s="60">
        <v>0.10819999999999999</v>
      </c>
      <c r="DW170" s="60">
        <v>40</v>
      </c>
      <c r="DX170" s="60">
        <v>2038.5</v>
      </c>
      <c r="DY170" s="60">
        <v>5337.375</v>
      </c>
      <c r="DZ170" s="60">
        <v>8636.25</v>
      </c>
      <c r="EA170" s="60">
        <v>11935.124999999998</v>
      </c>
      <c r="EB170" s="60">
        <v>15234</v>
      </c>
    </row>
    <row r="171" spans="1:132" x14ac:dyDescent="0.2">
      <c r="B171" s="60" t="e">
        <f t="shared" si="105"/>
        <v>#DIV/0!</v>
      </c>
      <c r="C171" s="60" t="e">
        <f t="shared" si="106"/>
        <v>#DIV/0!</v>
      </c>
      <c r="D171" s="60" t="e">
        <f t="shared" si="111"/>
        <v>#DIV/0!</v>
      </c>
      <c r="E171" s="60" t="e">
        <f t="shared" si="112"/>
        <v>#DIV/0!</v>
      </c>
      <c r="F171" s="60" t="e">
        <f t="shared" si="113"/>
        <v>#DIV/0!</v>
      </c>
      <c r="G171" s="60" t="e">
        <f t="shared" si="114"/>
        <v>#DIV/0!</v>
      </c>
      <c r="I171" s="60" t="e">
        <f t="shared" si="107"/>
        <v>#DIV/0!</v>
      </c>
      <c r="J171" s="60" t="e">
        <f t="shared" si="108"/>
        <v>#DIV/0!</v>
      </c>
      <c r="K171" s="60" t="e">
        <f t="shared" si="115"/>
        <v>#DIV/0!</v>
      </c>
      <c r="L171" s="60" t="e">
        <f t="shared" si="116"/>
        <v>#DIV/0!</v>
      </c>
      <c r="M171" s="60" t="e">
        <f t="shared" si="117"/>
        <v>#DIV/0!</v>
      </c>
      <c r="N171" s="60" t="e">
        <f t="shared" si="118"/>
        <v>#DIV/0!</v>
      </c>
      <c r="P171" s="60" t="e">
        <f t="shared" si="109"/>
        <v>#DIV/0!</v>
      </c>
      <c r="Q171" s="60" t="e">
        <f t="shared" si="110"/>
        <v>#DIV/0!</v>
      </c>
      <c r="R171" s="60" t="e">
        <f t="shared" si="119"/>
        <v>#DIV/0!</v>
      </c>
      <c r="S171" s="60" t="e">
        <f t="shared" si="119"/>
        <v>#DIV/0!</v>
      </c>
      <c r="T171" s="60" t="e">
        <f t="shared" si="119"/>
        <v>#DIV/0!</v>
      </c>
      <c r="U171" s="60" t="e">
        <f t="shared" si="119"/>
        <v>#DIV/0!</v>
      </c>
      <c r="AB171" s="60">
        <v>20</v>
      </c>
      <c r="AC171" s="60">
        <v>0.22216666666666668</v>
      </c>
      <c r="AD171" s="60">
        <v>0.24395833333333333</v>
      </c>
      <c r="AE171" s="60">
        <v>0.26574999999999999</v>
      </c>
      <c r="AF171" s="60">
        <v>0.28754166666666664</v>
      </c>
      <c r="AG171" s="60">
        <v>0.30933333333333335</v>
      </c>
      <c r="AI171" s="60">
        <v>100</v>
      </c>
      <c r="AK171" s="60">
        <v>0.18480000000000005</v>
      </c>
      <c r="AM171" s="60">
        <v>0.20680000000000004</v>
      </c>
      <c r="AO171" s="60">
        <v>0.22880000000000006</v>
      </c>
      <c r="AQ171" s="60">
        <v>0.25080000000000002</v>
      </c>
      <c r="AS171" s="60">
        <v>0.27280000000000004</v>
      </c>
      <c r="AW171" s="60">
        <v>50</v>
      </c>
      <c r="AX171" s="60">
        <v>1384.6666666666667</v>
      </c>
      <c r="AY171" s="60">
        <v>3469.666666666667</v>
      </c>
      <c r="AZ171" s="60">
        <v>5554.6666666666679</v>
      </c>
      <c r="BA171" s="60">
        <v>7639.666666666667</v>
      </c>
      <c r="BB171" s="60">
        <v>9724.6666666666679</v>
      </c>
      <c r="BI171" s="60">
        <v>20</v>
      </c>
      <c r="BJ171" s="60">
        <v>0.13716666666666666</v>
      </c>
      <c r="BK171" s="60">
        <v>0.155</v>
      </c>
      <c r="BL171" s="60">
        <v>0.17283333333333331</v>
      </c>
      <c r="BM171" s="60">
        <v>0.19066666666666665</v>
      </c>
      <c r="BN171" s="60">
        <v>0.20849999999999996</v>
      </c>
      <c r="BP171" s="60">
        <v>100</v>
      </c>
      <c r="BQ171" s="60">
        <v>0.11560000000000001</v>
      </c>
      <c r="BR171" s="60">
        <v>0.13225000000000001</v>
      </c>
      <c r="BS171" s="60">
        <v>0.14890000000000003</v>
      </c>
      <c r="BT171" s="60">
        <v>0.16555000000000003</v>
      </c>
      <c r="BU171" s="60">
        <v>0.18220000000000003</v>
      </c>
      <c r="BW171" s="60">
        <v>50</v>
      </c>
      <c r="BX171" s="60">
        <v>1739</v>
      </c>
      <c r="BY171" s="60">
        <v>4550.0833333333321</v>
      </c>
      <c r="BZ171" s="60">
        <v>7361.1666666666661</v>
      </c>
      <c r="CA171" s="60">
        <v>10172.25</v>
      </c>
      <c r="CB171" s="60">
        <v>12983.333333333332</v>
      </c>
      <c r="CI171" s="60">
        <v>20</v>
      </c>
      <c r="CJ171" s="60">
        <v>0.11899999999999999</v>
      </c>
      <c r="CK171" s="60">
        <v>0.13460416666666666</v>
      </c>
      <c r="CL171" s="60">
        <v>0.15020833333333333</v>
      </c>
      <c r="CM171" s="60">
        <v>0.16581249999999997</v>
      </c>
      <c r="CN171" s="60">
        <v>0.18141666666666664</v>
      </c>
      <c r="CP171" s="60">
        <v>100</v>
      </c>
      <c r="CQ171" s="60">
        <v>0.10100000000000001</v>
      </c>
      <c r="CR171" s="60">
        <v>0.11534999999999999</v>
      </c>
      <c r="CS171" s="60">
        <v>0.12970000000000001</v>
      </c>
      <c r="CT171" s="60">
        <v>0.14405000000000001</v>
      </c>
      <c r="CU171" s="60">
        <v>0.15839999999999999</v>
      </c>
      <c r="CW171" s="60">
        <v>50</v>
      </c>
      <c r="CX171" s="60">
        <v>2069.6666666666665</v>
      </c>
      <c r="CY171" s="60">
        <v>5411.6666666666661</v>
      </c>
      <c r="CZ171" s="60">
        <v>8753.6666666666642</v>
      </c>
      <c r="DA171" s="60">
        <v>12095.666666666666</v>
      </c>
      <c r="DB171" s="60">
        <v>15437.666666666666</v>
      </c>
      <c r="DI171" s="60">
        <v>20</v>
      </c>
      <c r="DJ171" s="60">
        <v>0.10083333333333333</v>
      </c>
      <c r="DK171" s="60">
        <v>0.11420833333333333</v>
      </c>
      <c r="DL171" s="60">
        <v>0.12758333333333333</v>
      </c>
      <c r="DM171" s="60">
        <v>0.14095833333333332</v>
      </c>
      <c r="DN171" s="60">
        <v>0.15433333333333332</v>
      </c>
      <c r="DP171" s="60">
        <v>100</v>
      </c>
      <c r="DQ171" s="60">
        <v>8.6399999999999991E-2</v>
      </c>
      <c r="DR171" s="60">
        <v>9.8449999999999982E-2</v>
      </c>
      <c r="DS171" s="60">
        <v>0.11049999999999999</v>
      </c>
      <c r="DT171" s="60">
        <v>0.12254999999999998</v>
      </c>
      <c r="DU171" s="60">
        <v>0.13459999999999997</v>
      </c>
      <c r="DW171" s="60">
        <v>50</v>
      </c>
      <c r="DX171" s="60">
        <v>2400.333333333333</v>
      </c>
      <c r="DY171" s="60">
        <v>6273.25</v>
      </c>
      <c r="DZ171" s="60">
        <v>10146.166666666664</v>
      </c>
      <c r="EA171" s="60">
        <v>14019.083333333332</v>
      </c>
      <c r="EB171" s="60">
        <v>17892</v>
      </c>
    </row>
    <row r="172" spans="1:132" x14ac:dyDescent="0.2">
      <c r="B172" s="60" t="e">
        <f t="shared" si="105"/>
        <v>#DIV/0!</v>
      </c>
      <c r="C172" s="60" t="e">
        <f t="shared" si="106"/>
        <v>#DIV/0!</v>
      </c>
      <c r="D172" s="60" t="e">
        <f t="shared" si="111"/>
        <v>#DIV/0!</v>
      </c>
      <c r="E172" s="60" t="e">
        <f t="shared" si="112"/>
        <v>#DIV/0!</v>
      </c>
      <c r="F172" s="60" t="e">
        <f t="shared" si="113"/>
        <v>#DIV/0!</v>
      </c>
      <c r="G172" s="60" t="e">
        <f t="shared" si="114"/>
        <v>#DIV/0!</v>
      </c>
      <c r="I172" s="60" t="e">
        <f t="shared" si="107"/>
        <v>#DIV/0!</v>
      </c>
      <c r="J172" s="60" t="e">
        <f t="shared" si="108"/>
        <v>#DIV/0!</v>
      </c>
      <c r="K172" s="60" t="e">
        <f t="shared" si="115"/>
        <v>#DIV/0!</v>
      </c>
      <c r="L172" s="60" t="e">
        <f t="shared" si="116"/>
        <v>#DIV/0!</v>
      </c>
      <c r="M172" s="60" t="e">
        <f t="shared" si="117"/>
        <v>#DIV/0!</v>
      </c>
      <c r="N172" s="60" t="e">
        <f t="shared" si="118"/>
        <v>#DIV/0!</v>
      </c>
      <c r="P172" s="60" t="e">
        <f t="shared" si="109"/>
        <v>#DIV/0!</v>
      </c>
      <c r="Q172" s="60" t="e">
        <f t="shared" si="110"/>
        <v>#DIV/0!</v>
      </c>
      <c r="R172" s="60" t="e">
        <f t="shared" si="119"/>
        <v>#DIV/0!</v>
      </c>
      <c r="S172" s="60" t="e">
        <f t="shared" si="119"/>
        <v>#DIV/0!</v>
      </c>
      <c r="T172" s="60" t="e">
        <f t="shared" si="119"/>
        <v>#DIV/0!</v>
      </c>
      <c r="U172" s="60" t="e">
        <f t="shared" si="119"/>
        <v>#DIV/0!</v>
      </c>
      <c r="AB172" s="60">
        <v>30</v>
      </c>
      <c r="AC172" s="60">
        <v>0.1963333333333333</v>
      </c>
      <c r="AD172" s="60">
        <v>0.21566666666666665</v>
      </c>
      <c r="AE172" s="60">
        <v>0.23499999999999999</v>
      </c>
      <c r="AF172" s="60">
        <v>0.2543333333333333</v>
      </c>
      <c r="AG172" s="60">
        <v>0.27366666666666661</v>
      </c>
      <c r="AI172" s="60">
        <v>110</v>
      </c>
      <c r="AK172" s="60">
        <v>0.22350000000000003</v>
      </c>
      <c r="AM172" s="60">
        <v>0.24925000000000003</v>
      </c>
      <c r="AO172" s="60">
        <v>0.27500000000000002</v>
      </c>
      <c r="AQ172" s="60">
        <v>0.30075000000000002</v>
      </c>
      <c r="AS172" s="60">
        <v>0.32650000000000001</v>
      </c>
      <c r="AW172" s="60">
        <v>60</v>
      </c>
      <c r="AX172" s="60">
        <v>1589.3333333333339</v>
      </c>
      <c r="AY172" s="60">
        <v>3980.2083333333344</v>
      </c>
      <c r="AZ172" s="60">
        <v>6371.0833333333339</v>
      </c>
      <c r="BA172" s="60">
        <v>8761.9583333333358</v>
      </c>
      <c r="BB172" s="60">
        <v>11152.833333333336</v>
      </c>
      <c r="BI172" s="60">
        <v>30</v>
      </c>
      <c r="BJ172" s="60">
        <v>0.12033333333333332</v>
      </c>
      <c r="BK172" s="60">
        <v>0.13625000000000001</v>
      </c>
      <c r="BL172" s="60">
        <v>0.15216666666666667</v>
      </c>
      <c r="BM172" s="60">
        <v>0.16808333333333331</v>
      </c>
      <c r="BN172" s="60">
        <v>0.184</v>
      </c>
      <c r="BP172" s="60">
        <v>110</v>
      </c>
      <c r="BQ172" s="60">
        <v>0.14049999999999999</v>
      </c>
      <c r="BR172" s="60">
        <v>0.16</v>
      </c>
      <c r="BS172" s="60">
        <v>0.17949999999999999</v>
      </c>
      <c r="BT172" s="60">
        <v>0.19900000000000001</v>
      </c>
      <c r="BU172" s="60">
        <v>0.2185</v>
      </c>
      <c r="BW172" s="60">
        <v>60</v>
      </c>
      <c r="BX172" s="60">
        <v>2005</v>
      </c>
      <c r="BY172" s="60">
        <v>5235.5416666666652</v>
      </c>
      <c r="BZ172" s="60">
        <v>8466.0833333333321</v>
      </c>
      <c r="CA172" s="60">
        <v>11696.624999999998</v>
      </c>
      <c r="CB172" s="60">
        <v>14927.166666666664</v>
      </c>
      <c r="CI172" s="60">
        <v>30</v>
      </c>
      <c r="CJ172" s="60">
        <v>0.10449999999999998</v>
      </c>
      <c r="CK172" s="60">
        <v>0.11845833333333333</v>
      </c>
      <c r="CL172" s="60">
        <v>0.13241666666666665</v>
      </c>
      <c r="CM172" s="60">
        <v>0.14637499999999998</v>
      </c>
      <c r="CN172" s="60">
        <v>0.16033333333333333</v>
      </c>
      <c r="CP172" s="60">
        <v>110</v>
      </c>
      <c r="CQ172" s="60">
        <v>0.1225</v>
      </c>
      <c r="CR172" s="60">
        <v>0.13931250000000001</v>
      </c>
      <c r="CS172" s="60">
        <v>0.15612499999999999</v>
      </c>
      <c r="CT172" s="60">
        <v>0.17293750000000002</v>
      </c>
      <c r="CU172" s="60">
        <v>0.18974999999999997</v>
      </c>
      <c r="CW172" s="60">
        <v>60</v>
      </c>
      <c r="CX172" s="60">
        <v>2383.583333333333</v>
      </c>
      <c r="CY172" s="60">
        <v>6222.3333333333321</v>
      </c>
      <c r="CZ172" s="60">
        <v>10061.083333333332</v>
      </c>
      <c r="DA172" s="60">
        <v>13899.833333333332</v>
      </c>
      <c r="DB172" s="60">
        <v>17738.583333333332</v>
      </c>
      <c r="DI172" s="60">
        <v>30</v>
      </c>
      <c r="DJ172" s="60">
        <v>8.8666666666666658E-2</v>
      </c>
      <c r="DK172" s="60">
        <v>0.10066666666666665</v>
      </c>
      <c r="DL172" s="60">
        <v>0.11266666666666665</v>
      </c>
      <c r="DM172" s="60">
        <v>0.12466666666666665</v>
      </c>
      <c r="DN172" s="60">
        <v>0.13666666666666666</v>
      </c>
      <c r="DP172" s="60">
        <v>110</v>
      </c>
      <c r="DQ172" s="60">
        <v>0.10450000000000001</v>
      </c>
      <c r="DR172" s="60">
        <v>0.11862499999999999</v>
      </c>
      <c r="DS172" s="60">
        <v>0.13274999999999998</v>
      </c>
      <c r="DT172" s="60">
        <v>0.14687500000000001</v>
      </c>
      <c r="DU172" s="60">
        <v>0.16099999999999998</v>
      </c>
      <c r="DW172" s="60">
        <v>60</v>
      </c>
      <c r="DX172" s="60">
        <v>2762.1666666666665</v>
      </c>
      <c r="DY172" s="60">
        <v>7209.125</v>
      </c>
      <c r="DZ172" s="60">
        <v>11656.083333333332</v>
      </c>
      <c r="EA172" s="60">
        <v>16103.041666666666</v>
      </c>
      <c r="EB172" s="60">
        <v>20550</v>
      </c>
    </row>
    <row r="173" spans="1:132" x14ac:dyDescent="0.2">
      <c r="B173" s="60" t="e">
        <f t="shared" si="105"/>
        <v>#DIV/0!</v>
      </c>
      <c r="C173" s="60" t="e">
        <f t="shared" si="106"/>
        <v>#DIV/0!</v>
      </c>
      <c r="D173" s="60" t="e">
        <f t="shared" si="111"/>
        <v>#DIV/0!</v>
      </c>
      <c r="E173" s="60" t="e">
        <f t="shared" si="112"/>
        <v>#DIV/0!</v>
      </c>
      <c r="F173" s="60" t="e">
        <f t="shared" si="113"/>
        <v>#DIV/0!</v>
      </c>
      <c r="G173" s="60" t="e">
        <f t="shared" si="114"/>
        <v>#DIV/0!</v>
      </c>
      <c r="I173" s="60" t="e">
        <f t="shared" si="107"/>
        <v>#DIV/0!</v>
      </c>
      <c r="J173" s="60" t="e">
        <f t="shared" si="108"/>
        <v>#DIV/0!</v>
      </c>
      <c r="K173" s="60" t="e">
        <f t="shared" si="115"/>
        <v>#DIV/0!</v>
      </c>
      <c r="L173" s="60" t="e">
        <f t="shared" si="116"/>
        <v>#DIV/0!</v>
      </c>
      <c r="M173" s="60" t="e">
        <f t="shared" si="117"/>
        <v>#DIV/0!</v>
      </c>
      <c r="N173" s="60" t="e">
        <f t="shared" si="118"/>
        <v>#DIV/0!</v>
      </c>
      <c r="P173" s="60" t="e">
        <f t="shared" si="109"/>
        <v>#DIV/0!</v>
      </c>
      <c r="Q173" s="60" t="e">
        <f t="shared" si="110"/>
        <v>#DIV/0!</v>
      </c>
      <c r="R173" s="60" t="e">
        <f t="shared" si="119"/>
        <v>#DIV/0!</v>
      </c>
      <c r="S173" s="60" t="e">
        <f t="shared" si="119"/>
        <v>#DIV/0!</v>
      </c>
      <c r="T173" s="60" t="e">
        <f t="shared" si="119"/>
        <v>#DIV/0!</v>
      </c>
      <c r="U173" s="60" t="e">
        <f t="shared" si="119"/>
        <v>#DIV/0!</v>
      </c>
      <c r="AB173" s="60">
        <v>40</v>
      </c>
      <c r="AC173" s="60">
        <v>0.17050000000000001</v>
      </c>
      <c r="AD173" s="60">
        <v>0.18737500000000001</v>
      </c>
      <c r="AE173" s="60">
        <v>0.20424999999999999</v>
      </c>
      <c r="AF173" s="60">
        <v>0.22112499999999999</v>
      </c>
      <c r="AG173" s="60">
        <v>0.23799999999999999</v>
      </c>
      <c r="AI173" s="60">
        <v>120</v>
      </c>
      <c r="AK173" s="60">
        <v>0.2622000000000001</v>
      </c>
      <c r="AM173" s="60">
        <v>0.29170000000000007</v>
      </c>
      <c r="AO173" s="60">
        <v>0.32120000000000004</v>
      </c>
      <c r="AQ173" s="60">
        <v>0.35070000000000007</v>
      </c>
      <c r="AS173" s="60">
        <v>0.38020000000000009</v>
      </c>
      <c r="AW173" s="60">
        <v>70</v>
      </c>
      <c r="AX173" s="60">
        <v>1794</v>
      </c>
      <c r="AY173" s="60">
        <v>4490.75</v>
      </c>
      <c r="AZ173" s="60">
        <v>7187.5</v>
      </c>
      <c r="BA173" s="60">
        <v>9884.25</v>
      </c>
      <c r="BB173" s="60">
        <v>12581</v>
      </c>
      <c r="BI173" s="60">
        <v>40</v>
      </c>
      <c r="BJ173" s="60">
        <v>0.10349999999999999</v>
      </c>
      <c r="BK173" s="60">
        <v>0.11749999999999999</v>
      </c>
      <c r="BL173" s="60">
        <v>0.13150000000000001</v>
      </c>
      <c r="BM173" s="60">
        <v>0.14549999999999999</v>
      </c>
      <c r="BN173" s="60">
        <v>0.15949999999999998</v>
      </c>
      <c r="BP173" s="60">
        <v>120</v>
      </c>
      <c r="BQ173" s="60">
        <v>0.16540000000000002</v>
      </c>
      <c r="BR173" s="60">
        <v>0.18775000000000003</v>
      </c>
      <c r="BS173" s="60">
        <v>0.21010000000000001</v>
      </c>
      <c r="BT173" s="60">
        <v>0.23245000000000005</v>
      </c>
      <c r="BU173" s="60">
        <v>0.25480000000000003</v>
      </c>
      <c r="BW173" s="60">
        <v>70</v>
      </c>
      <c r="BX173" s="60">
        <v>2271</v>
      </c>
      <c r="BY173" s="60">
        <v>5921</v>
      </c>
      <c r="BZ173" s="60">
        <v>9571</v>
      </c>
      <c r="CA173" s="60">
        <v>13221</v>
      </c>
      <c r="CB173" s="60">
        <v>16871</v>
      </c>
      <c r="CI173" s="60">
        <v>40</v>
      </c>
      <c r="CJ173" s="60">
        <v>0.09</v>
      </c>
      <c r="CK173" s="60">
        <v>0.10231249999999999</v>
      </c>
      <c r="CL173" s="60">
        <v>0.11462499999999999</v>
      </c>
      <c r="CM173" s="60">
        <v>0.12693749999999998</v>
      </c>
      <c r="CN173" s="60">
        <v>0.13924999999999998</v>
      </c>
      <c r="CP173" s="60">
        <v>120</v>
      </c>
      <c r="CQ173" s="60">
        <v>0.14400000000000002</v>
      </c>
      <c r="CR173" s="60">
        <v>0.163275</v>
      </c>
      <c r="CS173" s="60">
        <v>0.18254999999999999</v>
      </c>
      <c r="CT173" s="60">
        <v>0.20182500000000003</v>
      </c>
      <c r="CU173" s="60">
        <v>0.22110000000000002</v>
      </c>
      <c r="CW173" s="60">
        <v>70</v>
      </c>
      <c r="CX173" s="60">
        <v>2697.5</v>
      </c>
      <c r="CY173" s="60">
        <v>7033</v>
      </c>
      <c r="CZ173" s="60">
        <v>11368.5</v>
      </c>
      <c r="DA173" s="60">
        <v>15704</v>
      </c>
      <c r="DB173" s="60">
        <v>20039.5</v>
      </c>
      <c r="DI173" s="60">
        <v>40</v>
      </c>
      <c r="DJ173" s="60">
        <v>7.6499999999999985E-2</v>
      </c>
      <c r="DK173" s="60">
        <v>8.712499999999998E-2</v>
      </c>
      <c r="DL173" s="60">
        <v>9.7749999999999976E-2</v>
      </c>
      <c r="DM173" s="60">
        <v>0.10837499999999999</v>
      </c>
      <c r="DN173" s="60">
        <v>0.11899999999999998</v>
      </c>
      <c r="DP173" s="60">
        <v>120</v>
      </c>
      <c r="DQ173" s="60">
        <v>0.12260000000000001</v>
      </c>
      <c r="DR173" s="60">
        <v>0.13880000000000001</v>
      </c>
      <c r="DS173" s="60">
        <v>0.155</v>
      </c>
      <c r="DT173" s="60">
        <v>0.17119999999999999</v>
      </c>
      <c r="DU173" s="60">
        <v>0.18739999999999998</v>
      </c>
      <c r="DW173" s="60">
        <v>70</v>
      </c>
      <c r="DX173" s="60">
        <v>3124</v>
      </c>
      <c r="DY173" s="60">
        <v>8145</v>
      </c>
      <c r="DZ173" s="60">
        <v>13166</v>
      </c>
      <c r="EA173" s="60">
        <v>18187</v>
      </c>
      <c r="EB173" s="60">
        <v>23208</v>
      </c>
    </row>
    <row r="174" spans="1:132" x14ac:dyDescent="0.2">
      <c r="B174" s="60" t="e">
        <f t="shared" si="105"/>
        <v>#DIV/0!</v>
      </c>
      <c r="C174" s="60" t="e">
        <f t="shared" si="106"/>
        <v>#DIV/0!</v>
      </c>
      <c r="D174" s="60" t="e">
        <f t="shared" si="111"/>
        <v>#DIV/0!</v>
      </c>
      <c r="E174" s="60" t="e">
        <f t="shared" si="112"/>
        <v>#DIV/0!</v>
      </c>
      <c r="F174" s="60" t="e">
        <f t="shared" si="113"/>
        <v>#DIV/0!</v>
      </c>
      <c r="G174" s="60" t="e">
        <f t="shared" si="114"/>
        <v>#DIV/0!</v>
      </c>
      <c r="I174" s="60" t="e">
        <f t="shared" si="107"/>
        <v>#DIV/0!</v>
      </c>
      <c r="J174" s="60" t="e">
        <f t="shared" si="108"/>
        <v>#DIV/0!</v>
      </c>
      <c r="K174" s="60" t="e">
        <f t="shared" si="115"/>
        <v>#DIV/0!</v>
      </c>
      <c r="L174" s="60" t="e">
        <f t="shared" si="116"/>
        <v>#DIV/0!</v>
      </c>
      <c r="M174" s="60" t="e">
        <f t="shared" si="117"/>
        <v>#DIV/0!</v>
      </c>
      <c r="N174" s="60" t="e">
        <f t="shared" si="118"/>
        <v>#DIV/0!</v>
      </c>
      <c r="AB174" s="60">
        <v>50</v>
      </c>
      <c r="AC174" s="60">
        <v>0.14466666666666667</v>
      </c>
      <c r="AD174" s="60">
        <v>0.15908333333333333</v>
      </c>
      <c r="AE174" s="60">
        <v>0.17349999999999999</v>
      </c>
      <c r="AF174" s="60">
        <v>0.18791666666666668</v>
      </c>
      <c r="AG174" s="60">
        <v>0.20233333333333331</v>
      </c>
      <c r="AI174" s="60">
        <v>130</v>
      </c>
      <c r="AK174" s="60">
        <v>0.30090000000000006</v>
      </c>
      <c r="AM174" s="60">
        <v>0.33415000000000006</v>
      </c>
      <c r="AO174" s="60">
        <v>0.36740000000000006</v>
      </c>
      <c r="AQ174" s="60">
        <v>0.40065000000000006</v>
      </c>
      <c r="AS174" s="60">
        <v>0.43390000000000006</v>
      </c>
      <c r="AW174" s="60" t="s">
        <v>3965</v>
      </c>
      <c r="BI174" s="60">
        <v>50</v>
      </c>
      <c r="BJ174" s="60">
        <v>8.6666666666666656E-2</v>
      </c>
      <c r="BK174" s="60">
        <v>9.8750000000000004E-2</v>
      </c>
      <c r="BL174" s="60">
        <v>0.11083333333333331</v>
      </c>
      <c r="BM174" s="60">
        <v>0.12291666666666665</v>
      </c>
      <c r="BN174" s="60">
        <v>0.13500000000000001</v>
      </c>
      <c r="BP174" s="60">
        <v>130</v>
      </c>
      <c r="BQ174" s="60">
        <v>0.19030000000000002</v>
      </c>
      <c r="BR174" s="60">
        <v>0.21550000000000002</v>
      </c>
      <c r="BS174" s="60">
        <v>0.24070000000000003</v>
      </c>
      <c r="BT174" s="60">
        <v>0.26590000000000003</v>
      </c>
      <c r="BU174" s="60">
        <v>0.29110000000000003</v>
      </c>
      <c r="BW174" s="60" t="s">
        <v>218</v>
      </c>
      <c r="CI174" s="60">
        <v>50</v>
      </c>
      <c r="CJ174" s="60">
        <v>7.5499999999999984E-2</v>
      </c>
      <c r="CK174" s="60">
        <v>8.6166666666666669E-2</v>
      </c>
      <c r="CL174" s="60">
        <v>9.6833333333333327E-2</v>
      </c>
      <c r="CM174" s="60">
        <v>0.1075</v>
      </c>
      <c r="CN174" s="60">
        <v>0.11816666666666667</v>
      </c>
      <c r="CP174" s="60">
        <v>130</v>
      </c>
      <c r="CQ174" s="60">
        <v>0.16550000000000004</v>
      </c>
      <c r="CR174" s="60">
        <v>0.18723750000000003</v>
      </c>
      <c r="CS174" s="60">
        <v>0.20897500000000002</v>
      </c>
      <c r="CT174" s="60">
        <v>0.23071250000000001</v>
      </c>
      <c r="CU174" s="60">
        <v>0.25245000000000001</v>
      </c>
      <c r="CW174" s="60" t="s">
        <v>224</v>
      </c>
      <c r="DI174" s="60">
        <v>50</v>
      </c>
      <c r="DJ174" s="60">
        <v>6.4333333333333326E-2</v>
      </c>
      <c r="DK174" s="60">
        <v>7.3583333333333334E-2</v>
      </c>
      <c r="DL174" s="60">
        <v>8.2833333333333328E-2</v>
      </c>
      <c r="DM174" s="60">
        <v>9.2083333333333323E-2</v>
      </c>
      <c r="DN174" s="60">
        <v>0.10133333333333333</v>
      </c>
      <c r="DP174" s="60">
        <v>130</v>
      </c>
      <c r="DQ174" s="60">
        <v>0.14070000000000002</v>
      </c>
      <c r="DR174" s="60">
        <v>0.15897500000000003</v>
      </c>
      <c r="DS174" s="60">
        <v>0.17725000000000002</v>
      </c>
      <c r="DT174" s="60">
        <v>0.195525</v>
      </c>
      <c r="DU174" s="60">
        <v>0.21379999999999999</v>
      </c>
      <c r="DW174" s="60" t="s">
        <v>231</v>
      </c>
    </row>
    <row r="175" spans="1:132" x14ac:dyDescent="0.2">
      <c r="B175" s="60" t="e">
        <f t="shared" si="105"/>
        <v>#DIV/0!</v>
      </c>
      <c r="C175" s="60" t="e">
        <f t="shared" si="106"/>
        <v>#DIV/0!</v>
      </c>
      <c r="D175" s="60" t="e">
        <f t="shared" si="111"/>
        <v>#DIV/0!</v>
      </c>
      <c r="E175" s="60" t="e">
        <f t="shared" si="112"/>
        <v>#DIV/0!</v>
      </c>
      <c r="F175" s="60" t="e">
        <f t="shared" si="113"/>
        <v>#DIV/0!</v>
      </c>
      <c r="G175" s="60" t="e">
        <f t="shared" si="114"/>
        <v>#DIV/0!</v>
      </c>
      <c r="I175" s="60" t="e">
        <f t="shared" si="107"/>
        <v>#DIV/0!</v>
      </c>
      <c r="J175" s="60" t="e">
        <f t="shared" si="108"/>
        <v>#DIV/0!</v>
      </c>
      <c r="K175" s="60" t="e">
        <f t="shared" si="115"/>
        <v>#DIV/0!</v>
      </c>
      <c r="L175" s="60" t="e">
        <f t="shared" si="116"/>
        <v>#DIV/0!</v>
      </c>
      <c r="M175" s="60" t="e">
        <f t="shared" si="117"/>
        <v>#DIV/0!</v>
      </c>
      <c r="N175" s="60" t="e">
        <f t="shared" si="118"/>
        <v>#DIV/0!</v>
      </c>
      <c r="AB175" s="60">
        <v>60</v>
      </c>
      <c r="AC175" s="60">
        <v>0.11883333333333333</v>
      </c>
      <c r="AD175" s="60">
        <v>0.13079166666666667</v>
      </c>
      <c r="AE175" s="60">
        <v>0.14274999999999999</v>
      </c>
      <c r="AF175" s="60">
        <v>0.15470833333333334</v>
      </c>
      <c r="AG175" s="60">
        <v>0.16666666666666666</v>
      </c>
      <c r="AI175" s="60">
        <v>140</v>
      </c>
      <c r="AK175" s="60">
        <v>0.33960000000000001</v>
      </c>
      <c r="AM175" s="60">
        <v>0.37660000000000005</v>
      </c>
      <c r="AO175" s="60">
        <v>0.41360000000000002</v>
      </c>
      <c r="AQ175" s="60">
        <v>0.4506</v>
      </c>
      <c r="AS175" s="60">
        <v>0.48760000000000003</v>
      </c>
      <c r="BI175" s="60">
        <v>60</v>
      </c>
      <c r="BJ175" s="60">
        <v>6.9833333333333331E-2</v>
      </c>
      <c r="BK175" s="60">
        <v>0.08</v>
      </c>
      <c r="BL175" s="60">
        <v>9.0166666666666659E-2</v>
      </c>
      <c r="BM175" s="60">
        <v>0.10033333333333333</v>
      </c>
      <c r="BN175" s="60">
        <v>0.11049999999999999</v>
      </c>
      <c r="BP175" s="60">
        <v>140</v>
      </c>
      <c r="BQ175" s="60">
        <v>0.21519999999999997</v>
      </c>
      <c r="BR175" s="60">
        <v>0.24324999999999999</v>
      </c>
      <c r="BS175" s="60">
        <v>0.27129999999999999</v>
      </c>
      <c r="BT175" s="60">
        <v>0.29935</v>
      </c>
      <c r="BU175" s="60">
        <v>0.32740000000000002</v>
      </c>
      <c r="CI175" s="60">
        <v>60</v>
      </c>
      <c r="CJ175" s="60">
        <v>6.0999999999999999E-2</v>
      </c>
      <c r="CK175" s="60">
        <v>7.0020833333333338E-2</v>
      </c>
      <c r="CL175" s="60">
        <v>7.9041666666666649E-2</v>
      </c>
      <c r="CM175" s="60">
        <v>8.8062499999999988E-2</v>
      </c>
      <c r="CN175" s="60">
        <v>9.7083333333333327E-2</v>
      </c>
      <c r="CP175" s="60">
        <v>140</v>
      </c>
      <c r="CQ175" s="60">
        <v>0.187</v>
      </c>
      <c r="CR175" s="60">
        <v>0.2112</v>
      </c>
      <c r="CS175" s="60">
        <v>0.2354</v>
      </c>
      <c r="CT175" s="60">
        <v>0.2596</v>
      </c>
      <c r="CU175" s="60">
        <v>0.2838</v>
      </c>
      <c r="DI175" s="60">
        <v>60</v>
      </c>
      <c r="DJ175" s="60">
        <v>5.216666666666666E-2</v>
      </c>
      <c r="DK175" s="60">
        <v>6.004166666666666E-2</v>
      </c>
      <c r="DL175" s="60">
        <v>6.7916666666666653E-2</v>
      </c>
      <c r="DM175" s="60">
        <v>7.579166666666666E-2</v>
      </c>
      <c r="DN175" s="60">
        <v>8.3666666666666667E-2</v>
      </c>
      <c r="DP175" s="60">
        <v>140</v>
      </c>
      <c r="DQ175" s="60">
        <v>0.15880000000000002</v>
      </c>
      <c r="DR175" s="60">
        <v>0.17915</v>
      </c>
      <c r="DS175" s="60">
        <v>0.19950000000000001</v>
      </c>
      <c r="DT175" s="60">
        <v>0.21984999999999999</v>
      </c>
      <c r="DU175" s="60">
        <v>0.2402</v>
      </c>
    </row>
    <row r="176" spans="1:132" x14ac:dyDescent="0.2">
      <c r="B176" s="60" t="e">
        <f t="shared" si="105"/>
        <v>#DIV/0!</v>
      </c>
      <c r="C176" s="60" t="e">
        <f t="shared" si="106"/>
        <v>#DIV/0!</v>
      </c>
      <c r="D176" s="60" t="e">
        <f t="shared" si="111"/>
        <v>#DIV/0!</v>
      </c>
      <c r="E176" s="60" t="e">
        <f t="shared" si="112"/>
        <v>#DIV/0!</v>
      </c>
      <c r="F176" s="60" t="e">
        <f t="shared" si="113"/>
        <v>#DIV/0!</v>
      </c>
      <c r="G176" s="60" t="e">
        <f t="shared" si="114"/>
        <v>#DIV/0!</v>
      </c>
      <c r="I176" s="60" t="e">
        <f t="shared" si="107"/>
        <v>#DIV/0!</v>
      </c>
      <c r="J176" s="60" t="e">
        <f t="shared" si="108"/>
        <v>#DIV/0!</v>
      </c>
      <c r="K176" s="60" t="e">
        <f t="shared" si="115"/>
        <v>#DIV/0!</v>
      </c>
      <c r="L176" s="60" t="e">
        <f t="shared" si="116"/>
        <v>#DIV/0!</v>
      </c>
      <c r="M176" s="60" t="e">
        <f t="shared" si="117"/>
        <v>#DIV/0!</v>
      </c>
      <c r="N176" s="60" t="e">
        <f t="shared" si="118"/>
        <v>#DIV/0!</v>
      </c>
      <c r="P176" s="60" t="e">
        <f t="shared" ref="P176:P182" si="120">IF($A$164=1,AW176,IF($A$164=2,BW176,IF($A$164=3,CW176,IF($A$164=4,DW176))))</f>
        <v>#DIV/0!</v>
      </c>
      <c r="AB176" s="60">
        <v>70</v>
      </c>
      <c r="AC176" s="60">
        <v>9.2999999999999985E-2</v>
      </c>
      <c r="AD176" s="60">
        <v>0.10249999999999999</v>
      </c>
      <c r="AE176" s="60">
        <v>0.11199999999999999</v>
      </c>
      <c r="AF176" s="60">
        <v>0.12149999999999998</v>
      </c>
      <c r="AG176" s="60">
        <v>0.13099999999999998</v>
      </c>
      <c r="AI176" s="60">
        <v>150</v>
      </c>
      <c r="AK176" s="60">
        <v>0.37830000000000008</v>
      </c>
      <c r="AM176" s="60">
        <v>0.41905000000000003</v>
      </c>
      <c r="AO176" s="60">
        <v>0.4598000000000001</v>
      </c>
      <c r="AQ176" s="60">
        <v>0.50055000000000005</v>
      </c>
      <c r="AS176" s="60">
        <v>0.54130000000000011</v>
      </c>
      <c r="AW176" s="60" t="s">
        <v>3966</v>
      </c>
      <c r="BI176" s="60">
        <v>70</v>
      </c>
      <c r="BJ176" s="60">
        <v>5.2999999999999992E-2</v>
      </c>
      <c r="BK176" s="60">
        <v>6.1249999999999999E-2</v>
      </c>
      <c r="BL176" s="60">
        <v>6.9499999999999992E-2</v>
      </c>
      <c r="BM176" s="60">
        <v>7.7749999999999986E-2</v>
      </c>
      <c r="BN176" s="60">
        <v>8.5999999999999993E-2</v>
      </c>
      <c r="BP176" s="60">
        <v>150</v>
      </c>
      <c r="BQ176" s="60">
        <v>0.24010000000000001</v>
      </c>
      <c r="BR176" s="60">
        <v>0.27100000000000002</v>
      </c>
      <c r="BS176" s="60">
        <v>0.3019</v>
      </c>
      <c r="BT176" s="60">
        <v>0.33279999999999998</v>
      </c>
      <c r="BU176" s="60">
        <v>0.36370000000000002</v>
      </c>
      <c r="BW176" s="60" t="s">
        <v>3966</v>
      </c>
      <c r="CI176" s="60">
        <v>70</v>
      </c>
      <c r="CJ176" s="60">
        <v>4.65E-2</v>
      </c>
      <c r="CK176" s="60">
        <v>5.3874999999999999E-2</v>
      </c>
      <c r="CL176" s="60">
        <v>6.1249999999999999E-2</v>
      </c>
      <c r="CM176" s="60">
        <v>6.8624999999999992E-2</v>
      </c>
      <c r="CN176" s="60">
        <v>7.5999999999999998E-2</v>
      </c>
      <c r="CP176" s="60">
        <v>150</v>
      </c>
      <c r="CQ176" s="60">
        <v>0.20850000000000002</v>
      </c>
      <c r="CR176" s="60">
        <v>0.2351625</v>
      </c>
      <c r="CS176" s="60">
        <v>0.26182499999999997</v>
      </c>
      <c r="CT176" s="60">
        <v>0.28848750000000001</v>
      </c>
      <c r="CU176" s="60">
        <v>0.31515000000000004</v>
      </c>
      <c r="CW176" s="60" t="s">
        <v>3966</v>
      </c>
      <c r="DI176" s="60">
        <v>70</v>
      </c>
      <c r="DJ176" s="60">
        <v>0.04</v>
      </c>
      <c r="DK176" s="60">
        <v>4.65E-2</v>
      </c>
      <c r="DL176" s="60">
        <v>5.3000000000000005E-2</v>
      </c>
      <c r="DM176" s="60">
        <v>5.9499999999999997E-2</v>
      </c>
      <c r="DN176" s="60">
        <v>6.6000000000000003E-2</v>
      </c>
      <c r="DP176" s="60">
        <v>150</v>
      </c>
      <c r="DQ176" s="60">
        <v>0.17690000000000003</v>
      </c>
      <c r="DR176" s="60">
        <v>0.199325</v>
      </c>
      <c r="DS176" s="60">
        <v>0.22175</v>
      </c>
      <c r="DT176" s="60">
        <v>0.24417499999999998</v>
      </c>
      <c r="DU176" s="60">
        <v>0.2666</v>
      </c>
      <c r="DW176" s="60" t="s">
        <v>3966</v>
      </c>
    </row>
    <row r="177" spans="2:130" x14ac:dyDescent="0.2">
      <c r="I177" s="60" t="e">
        <f t="shared" si="107"/>
        <v>#DIV/0!</v>
      </c>
      <c r="J177" s="60" t="e">
        <f t="shared" si="108"/>
        <v>#DIV/0!</v>
      </c>
      <c r="K177" s="60" t="e">
        <f t="shared" si="115"/>
        <v>#DIV/0!</v>
      </c>
      <c r="L177" s="60" t="e">
        <f t="shared" si="116"/>
        <v>#DIV/0!</v>
      </c>
      <c r="M177" s="60" t="e">
        <f t="shared" si="117"/>
        <v>#DIV/0!</v>
      </c>
      <c r="N177" s="60" t="e">
        <f t="shared" si="118"/>
        <v>#DIV/0!</v>
      </c>
      <c r="P177" s="60" t="e">
        <f t="shared" si="120"/>
        <v>#DIV/0!</v>
      </c>
      <c r="Q177" s="60" t="e">
        <f>IF($A$164=1,AX177,IF($A$164=2,BX177,IF($A$164=3,CX177,IF($A$164=4,DX177))))</f>
        <v>#DIV/0!</v>
      </c>
      <c r="AB177" s="60" t="s">
        <v>3967</v>
      </c>
      <c r="AI177" s="60">
        <v>160</v>
      </c>
      <c r="AK177" s="60">
        <v>0.41699999999999998</v>
      </c>
      <c r="AM177" s="60">
        <v>0.46150000000000002</v>
      </c>
      <c r="AO177" s="60">
        <v>0.50600000000000001</v>
      </c>
      <c r="AQ177" s="60">
        <v>0.55049999999999999</v>
      </c>
      <c r="AS177" s="60">
        <v>0.59499999999999997</v>
      </c>
      <c r="AW177" s="60" t="s">
        <v>3411</v>
      </c>
      <c r="AX177" s="60" t="s">
        <v>3968</v>
      </c>
      <c r="BI177" s="60" t="s">
        <v>219</v>
      </c>
      <c r="BP177" s="60">
        <v>160</v>
      </c>
      <c r="BQ177" s="60">
        <v>0.26500000000000001</v>
      </c>
      <c r="BR177" s="60">
        <v>0.29875000000000002</v>
      </c>
      <c r="BS177" s="60">
        <v>0.33250000000000002</v>
      </c>
      <c r="BT177" s="60">
        <v>0.36625000000000002</v>
      </c>
      <c r="BU177" s="60">
        <v>0.4</v>
      </c>
      <c r="BW177" s="60" t="s">
        <v>3411</v>
      </c>
      <c r="BX177" s="60" t="s">
        <v>3968</v>
      </c>
      <c r="CI177" s="60" t="s">
        <v>225</v>
      </c>
      <c r="CP177" s="60">
        <v>160</v>
      </c>
      <c r="CQ177" s="60">
        <v>0.23</v>
      </c>
      <c r="CR177" s="60">
        <v>0.25912500000000005</v>
      </c>
      <c r="CS177" s="60">
        <v>0.28825000000000001</v>
      </c>
      <c r="CT177" s="60">
        <v>0.31737500000000002</v>
      </c>
      <c r="CU177" s="60">
        <v>0.34650000000000003</v>
      </c>
      <c r="CW177" s="60" t="s">
        <v>3411</v>
      </c>
      <c r="CX177" s="60" t="s">
        <v>3968</v>
      </c>
      <c r="DI177" s="60" t="s">
        <v>232</v>
      </c>
      <c r="DP177" s="60">
        <v>160</v>
      </c>
      <c r="DQ177" s="60">
        <v>0.19500000000000001</v>
      </c>
      <c r="DR177" s="60">
        <v>0.21950000000000003</v>
      </c>
      <c r="DS177" s="60">
        <v>0.24400000000000002</v>
      </c>
      <c r="DT177" s="60">
        <v>0.26850000000000002</v>
      </c>
      <c r="DU177" s="60">
        <v>0.29299999999999998</v>
      </c>
      <c r="DW177" s="60" t="s">
        <v>3411</v>
      </c>
      <c r="DX177" s="60" t="s">
        <v>3968</v>
      </c>
    </row>
    <row r="178" spans="2:130" x14ac:dyDescent="0.2">
      <c r="P178" s="60" t="e">
        <f t="shared" si="120"/>
        <v>#DIV/0!</v>
      </c>
      <c r="S178" s="60" t="e">
        <f>IF($A$164=1,AZ178,IF($A$164=2,BZ178,IF($A$164=3,CZ178,IF($A$164=4,DZ178))))</f>
        <v>#DIV/0!</v>
      </c>
      <c r="AI178" s="60" t="s">
        <v>3969</v>
      </c>
      <c r="AW178" s="60" t="s">
        <v>3970</v>
      </c>
      <c r="AZ178" s="60">
        <v>0.32788189113586852</v>
      </c>
      <c r="BP178" s="60" t="s">
        <v>220</v>
      </c>
      <c r="BW178" s="60" t="s">
        <v>3970</v>
      </c>
      <c r="BZ178" s="60">
        <v>0.32444145516357453</v>
      </c>
      <c r="CP178" s="60" t="s">
        <v>226</v>
      </c>
      <c r="CW178" s="60" t="s">
        <v>3970</v>
      </c>
      <c r="CZ178" s="60">
        <v>0.32588383174000846</v>
      </c>
      <c r="DP178" s="60" t="s">
        <v>233</v>
      </c>
      <c r="DW178" s="60" t="s">
        <v>3970</v>
      </c>
      <c r="DZ178" s="60">
        <v>0.32732620831644244</v>
      </c>
    </row>
    <row r="179" spans="2:130" x14ac:dyDescent="0.2">
      <c r="B179" s="60" t="e">
        <f>IF($A$164=1,AB179,IF($A$164=2,BI179,IF($A$164=3,CI179,IF($A$164=4,DI179))))</f>
        <v>#DIV/0!</v>
      </c>
      <c r="D179" s="60" t="e">
        <f t="shared" ref="D179:G180" si="121">IF($A$164=1,AD179,IF($A$164=2,BK179,IF($A$164=3,CK179,IF($A$164=4,DK179))))</f>
        <v>#DIV/0!</v>
      </c>
      <c r="E179" s="60" t="e">
        <f t="shared" si="121"/>
        <v>#DIV/0!</v>
      </c>
      <c r="F179" s="60" t="e">
        <f t="shared" si="121"/>
        <v>#DIV/0!</v>
      </c>
      <c r="G179" s="60" t="e">
        <f t="shared" si="121"/>
        <v>#DIV/0!</v>
      </c>
      <c r="P179" s="60" t="e">
        <f t="shared" si="120"/>
        <v>#DIV/0!</v>
      </c>
      <c r="S179" s="60" t="e">
        <f>IF($A$164=1,AZ179,IF($A$164=2,BZ179,IF($A$164=3,CZ179,IF($A$164=4,DZ179))))</f>
        <v>#DIV/0!</v>
      </c>
      <c r="AB179" s="60" t="s">
        <v>3971</v>
      </c>
      <c r="AD179" s="60" t="s">
        <v>2699</v>
      </c>
      <c r="AE179" s="60" t="s">
        <v>2701</v>
      </c>
      <c r="AF179" s="60" t="s">
        <v>2703</v>
      </c>
      <c r="AG179" s="60" t="s">
        <v>2705</v>
      </c>
      <c r="AW179" s="60" t="s">
        <v>3972</v>
      </c>
      <c r="AZ179" s="60">
        <v>0.65895427200475443</v>
      </c>
      <c r="BI179" s="60" t="s">
        <v>3971</v>
      </c>
      <c r="BK179" s="60" t="s">
        <v>2699</v>
      </c>
      <c r="BL179" s="60" t="s">
        <v>2701</v>
      </c>
      <c r="BM179" s="60" t="s">
        <v>2703</v>
      </c>
      <c r="BN179" s="60" t="s">
        <v>2705</v>
      </c>
      <c r="BW179" s="60" t="s">
        <v>3972</v>
      </c>
      <c r="BZ179" s="60">
        <v>0.65840428443863752</v>
      </c>
      <c r="CI179" s="60" t="s">
        <v>3971</v>
      </c>
      <c r="CK179" s="60" t="s">
        <v>2699</v>
      </c>
      <c r="CL179" s="60" t="s">
        <v>2701</v>
      </c>
      <c r="CM179" s="60" t="s">
        <v>2703</v>
      </c>
      <c r="CN179" s="60" t="s">
        <v>2705</v>
      </c>
      <c r="CW179" s="60" t="s">
        <v>3972</v>
      </c>
      <c r="CZ179" s="60">
        <v>0.66071825114616056</v>
      </c>
      <c r="DI179" s="60" t="s">
        <v>3971</v>
      </c>
      <c r="DK179" s="60" t="s">
        <v>2699</v>
      </c>
      <c r="DL179" s="60" t="s">
        <v>2701</v>
      </c>
      <c r="DM179" s="60" t="s">
        <v>2703</v>
      </c>
      <c r="DN179" s="60" t="s">
        <v>2705</v>
      </c>
      <c r="DW179" s="60" t="s">
        <v>3972</v>
      </c>
      <c r="DZ179" s="60">
        <v>0.6630322178536836</v>
      </c>
    </row>
    <row r="180" spans="2:130" x14ac:dyDescent="0.2">
      <c r="D180" s="60" t="e">
        <f t="shared" si="121"/>
        <v>#DIV/0!</v>
      </c>
      <c r="E180" s="60" t="e">
        <f t="shared" si="121"/>
        <v>#DIV/0!</v>
      </c>
      <c r="F180" s="60" t="e">
        <f t="shared" si="121"/>
        <v>#DIV/0!</v>
      </c>
      <c r="G180" s="60" t="e">
        <f t="shared" si="121"/>
        <v>#DIV/0!</v>
      </c>
      <c r="I180" s="60" t="e">
        <f>IF($A$164=1,AI180,IF($A$164=2,BP180,IF($A$164=3,CP180,IF($A$164=4,DP180))))</f>
        <v>#DIV/0!</v>
      </c>
      <c r="K180" s="60" t="e">
        <f>IF($A$164=1,AM180,IF($A$164=2,BR180,IF($A$164=3,CR180,IF($A$164=4,DR180))))</f>
        <v>#DIV/0!</v>
      </c>
      <c r="L180" s="60" t="e">
        <f>IF($A$164=1,AO180,IF($A$164=2,BS180,IF($A$164=3,CS180,IF($A$164=4,DS180))))</f>
        <v>#DIV/0!</v>
      </c>
      <c r="M180" s="60" t="e">
        <f>IF($A$164=1,AQ180,IF($A$164=2,BT180,IF($A$164=3,CT180,IF($A$164=4,DT180))))</f>
        <v>#DIV/0!</v>
      </c>
      <c r="N180" s="60" t="e">
        <f>IF($A$164=1,AS180,IF($A$164=2,BU180,IF($A$164=3,CU180,IF($A$164=4,DU180))))</f>
        <v>#DIV/0!</v>
      </c>
      <c r="P180" s="60" t="e">
        <f t="shared" si="120"/>
        <v>#DIV/0!</v>
      </c>
      <c r="S180" s="60" t="e">
        <f>IF($A$164=1,AZ180,IF($A$164=2,BZ180,IF($A$164=3,CZ180,IF($A$164=4,DZ180))))</f>
        <v>#DIV/0!</v>
      </c>
      <c r="AB180" s="60" t="s">
        <v>3973</v>
      </c>
      <c r="AD180" s="60">
        <v>1.7789473684210528</v>
      </c>
      <c r="AE180" s="60">
        <v>1.2473684210526315</v>
      </c>
      <c r="AF180" s="60">
        <v>1</v>
      </c>
      <c r="AG180" s="60">
        <v>0.8789473684210527</v>
      </c>
      <c r="AI180" s="60" t="s">
        <v>3971</v>
      </c>
      <c r="AM180" s="60" t="s">
        <v>2699</v>
      </c>
      <c r="AO180" s="60" t="s">
        <v>2701</v>
      </c>
      <c r="AQ180" s="60" t="s">
        <v>2703</v>
      </c>
      <c r="AS180" s="60" t="s">
        <v>2705</v>
      </c>
      <c r="AW180" s="60" t="s">
        <v>3974</v>
      </c>
      <c r="AZ180" s="60">
        <v>1</v>
      </c>
      <c r="BI180" s="60" t="s">
        <v>3973</v>
      </c>
      <c r="BK180" s="60">
        <v>1.9788732394366202</v>
      </c>
      <c r="BL180" s="60">
        <v>1.2746478873239437</v>
      </c>
      <c r="BM180" s="60">
        <v>1</v>
      </c>
      <c r="BN180" s="60">
        <v>0.84507042253521136</v>
      </c>
      <c r="BP180" s="60" t="s">
        <v>3971</v>
      </c>
      <c r="BR180" s="60" t="s">
        <v>2699</v>
      </c>
      <c r="BS180" s="60" t="s">
        <v>2701</v>
      </c>
      <c r="BT180" s="60" t="s">
        <v>2703</v>
      </c>
      <c r="BU180" s="60" t="s">
        <v>2705</v>
      </c>
      <c r="BW180" s="60" t="s">
        <v>3974</v>
      </c>
      <c r="BZ180" s="60">
        <v>1</v>
      </c>
      <c r="CI180" s="60" t="s">
        <v>3973</v>
      </c>
      <c r="CK180" s="60">
        <v>1.9509750812567717</v>
      </c>
      <c r="CL180" s="60">
        <v>1.2691920755301038</v>
      </c>
      <c r="CM180" s="60">
        <v>1</v>
      </c>
      <c r="CN180" s="60">
        <v>0.85110663983903434</v>
      </c>
      <c r="CP180" s="60" t="s">
        <v>3971</v>
      </c>
      <c r="CR180" s="60" t="s">
        <v>2699</v>
      </c>
      <c r="CS180" s="60" t="s">
        <v>2701</v>
      </c>
      <c r="CT180" s="60" t="s">
        <v>2703</v>
      </c>
      <c r="CU180" s="60" t="s">
        <v>2705</v>
      </c>
      <c r="CW180" s="60" t="s">
        <v>3974</v>
      </c>
      <c r="CZ180" s="60">
        <v>1</v>
      </c>
      <c r="DI180" s="60" t="s">
        <v>3973</v>
      </c>
      <c r="DK180" s="60">
        <v>1.9230769230769229</v>
      </c>
      <c r="DL180" s="60">
        <v>1.2637362637362639</v>
      </c>
      <c r="DM180" s="60">
        <v>1</v>
      </c>
      <c r="DN180" s="60">
        <v>0.85714285714285721</v>
      </c>
      <c r="DP180" s="60" t="s">
        <v>3971</v>
      </c>
      <c r="DR180" s="60" t="s">
        <v>2699</v>
      </c>
      <c r="DS180" s="60" t="s">
        <v>2701</v>
      </c>
      <c r="DT180" s="60" t="s">
        <v>2703</v>
      </c>
      <c r="DU180" s="60" t="s">
        <v>2705</v>
      </c>
      <c r="DW180" s="60" t="s">
        <v>3974</v>
      </c>
      <c r="DZ180" s="60">
        <v>1</v>
      </c>
    </row>
    <row r="181" spans="2:130" x14ac:dyDescent="0.2">
      <c r="K181" s="60" t="e">
        <f>IF($A$164=1,AM181,IF($A$164=2,BR181,IF($A$164=3,CR181,IF($A$164=4,DR181))))</f>
        <v>#DIV/0!</v>
      </c>
      <c r="L181" s="60" t="e">
        <f>IF($A$164=1,AO181,IF($A$164=2,BS181,IF($A$164=3,CS181,IF($A$164=4,DS181))))</f>
        <v>#DIV/0!</v>
      </c>
      <c r="M181" s="60" t="e">
        <f>IF($A$164=1,AQ181,IF($A$164=2,BT181,IF($A$164=3,CT181,IF($A$164=4,DT181))))</f>
        <v>#DIV/0!</v>
      </c>
      <c r="N181" s="60" t="e">
        <f>IF($A$164=1,AS181,IF($A$164=2,BU181,IF($A$164=3,CU181,IF($A$164=4,DU181))))</f>
        <v>#DIV/0!</v>
      </c>
      <c r="P181" s="60" t="e">
        <f t="shared" si="120"/>
        <v>#DIV/0!</v>
      </c>
      <c r="S181" s="60" t="e">
        <f>IF($A$164=1,AZ181,IF($A$164=2,BZ181,IF($A$164=3,CZ181,IF($A$164=4,DZ181))))</f>
        <v>#DIV/0!</v>
      </c>
      <c r="AI181" s="60" t="s">
        <v>3975</v>
      </c>
      <c r="AM181" s="60">
        <v>1.8203125</v>
      </c>
      <c r="AO181" s="60">
        <v>1.25</v>
      </c>
      <c r="AQ181" s="60">
        <v>1</v>
      </c>
      <c r="AS181" s="60">
        <v>0.859375</v>
      </c>
      <c r="AW181" s="60" t="s">
        <v>3976</v>
      </c>
      <c r="AZ181" s="60">
        <v>2.0698555187352161</v>
      </c>
      <c r="BP181" s="60" t="s">
        <v>3975</v>
      </c>
      <c r="BR181" s="60">
        <v>2.0153846153846153</v>
      </c>
      <c r="BS181" s="60">
        <v>1.2256410256410255</v>
      </c>
      <c r="BT181" s="60">
        <v>1</v>
      </c>
      <c r="BU181" s="60">
        <v>0.83589743589743593</v>
      </c>
      <c r="BW181" s="60" t="s">
        <v>3976</v>
      </c>
      <c r="BZ181" s="60">
        <v>2.0500976246216762</v>
      </c>
      <c r="CP181" s="60" t="s">
        <v>3975</v>
      </c>
      <c r="CR181" s="60">
        <v>2.0116605616605616</v>
      </c>
      <c r="CS181" s="60">
        <v>1.2556776556776557</v>
      </c>
      <c r="CT181" s="60">
        <v>1</v>
      </c>
      <c r="CU181" s="60">
        <v>0.84255189255189256</v>
      </c>
      <c r="CW181" s="60" t="s">
        <v>3976</v>
      </c>
      <c r="CZ181" s="60">
        <v>2.0468584595968924</v>
      </c>
      <c r="DP181" s="60" t="s">
        <v>3975</v>
      </c>
      <c r="DR181" s="60">
        <v>2.0079365079365079</v>
      </c>
      <c r="DS181" s="60">
        <v>1.2857142857142858</v>
      </c>
      <c r="DT181" s="60">
        <v>1</v>
      </c>
      <c r="DU181" s="60">
        <v>0.84920634920634919</v>
      </c>
      <c r="DW181" s="60" t="s">
        <v>3976</v>
      </c>
      <c r="DZ181" s="60">
        <v>2.0436192945721086</v>
      </c>
    </row>
    <row r="182" spans="2:130" x14ac:dyDescent="0.2">
      <c r="P182" s="60" t="e">
        <f t="shared" si="120"/>
        <v>#DIV/0!</v>
      </c>
      <c r="S182" s="60" t="e">
        <f>IF($A$164=1,AZ182,IF($A$164=2,BZ182,IF($A$164=3,CZ182,IF($A$164=4,DZ182))))</f>
        <v>#DIV/0!</v>
      </c>
      <c r="AW182" s="60" t="s">
        <v>3977</v>
      </c>
      <c r="AZ182" s="60">
        <v>3.1525257531126396</v>
      </c>
      <c r="BW182" s="60" t="s">
        <v>3977</v>
      </c>
      <c r="BZ182" s="60">
        <v>3.1331440019388657</v>
      </c>
      <c r="CW182" s="60" t="s">
        <v>3977</v>
      </c>
      <c r="CZ182" s="60">
        <v>3.1222134063831728</v>
      </c>
      <c r="DW182" s="60" t="s">
        <v>3977</v>
      </c>
      <c r="DZ182" s="60">
        <v>3.1112828108274799</v>
      </c>
    </row>
    <row r="185" spans="2:130" x14ac:dyDescent="0.2">
      <c r="B185" s="60" t="e">
        <f t="shared" ref="B185:B191" si="122">IF($A$164=1,AB185,IF($A$164=2,BI185,IF($A$164=3,CI185,IF($A$164=4,DI185))))</f>
        <v>#DIV/0!</v>
      </c>
      <c r="I185" s="60" t="e">
        <f t="shared" ref="I185:I191" si="123">IF($A$164=1,AI185,IF($A$164=2,BP185,IF($A$164=3,CP185,IF($A$164=4,DP185))))</f>
        <v>#DIV/0!</v>
      </c>
      <c r="AB185" s="60" t="s">
        <v>3978</v>
      </c>
      <c r="AI185" s="60" t="s">
        <v>1667</v>
      </c>
      <c r="AW185" s="60" t="s">
        <v>1668</v>
      </c>
      <c r="BI185" s="60" t="s">
        <v>3978</v>
      </c>
      <c r="BP185" s="60" t="s">
        <v>1667</v>
      </c>
      <c r="BW185" s="60" t="s">
        <v>1668</v>
      </c>
      <c r="CI185" s="60" t="s">
        <v>3978</v>
      </c>
      <c r="CP185" s="60" t="s">
        <v>1667</v>
      </c>
      <c r="CW185" s="60" t="s">
        <v>1668</v>
      </c>
      <c r="DI185" s="60" t="s">
        <v>3978</v>
      </c>
      <c r="DP185" s="60" t="s">
        <v>1667</v>
      </c>
      <c r="DW185" s="60" t="s">
        <v>1668</v>
      </c>
    </row>
    <row r="186" spans="2:130" x14ac:dyDescent="0.2">
      <c r="B186" s="60" t="e">
        <f t="shared" si="122"/>
        <v>#DIV/0!</v>
      </c>
      <c r="C186" s="60" t="e">
        <f t="shared" ref="C186:F191" si="124">IF($A$164=1,AC186,IF($A$164=2,BJ186,IF($A$164=3,CJ186,IF($A$164=4,DJ186))))</f>
        <v>#DIV/0!</v>
      </c>
      <c r="D186" s="60" t="e">
        <f t="shared" si="124"/>
        <v>#DIV/0!</v>
      </c>
      <c r="E186" s="60" t="e">
        <f t="shared" si="124"/>
        <v>#DIV/0!</v>
      </c>
      <c r="F186" s="60" t="e">
        <f t="shared" si="124"/>
        <v>#DIV/0!</v>
      </c>
      <c r="I186" s="60" t="e">
        <f t="shared" si="123"/>
        <v>#DIV/0!</v>
      </c>
      <c r="J186" s="60" t="e">
        <f t="shared" ref="J186:J191" si="125">IF($A$164=1,AK186,IF($A$164=2,BQ186,IF($A$164=3,CQ186,IF($A$164=4,DQ186))))</f>
        <v>#DIV/0!</v>
      </c>
      <c r="K186" s="60" t="e">
        <f t="shared" ref="K186:K191" si="126">IF($A$164=1,AM186,IF($A$164=2,BR186,IF($A$164=3,CR186,IF($A$164=4,DR186))))</f>
        <v>#DIV/0!</v>
      </c>
      <c r="L186" s="60" t="e">
        <f t="shared" ref="L186:L191" si="127">IF($A$164=1,AO186,IF($A$164=2,BS186,IF($A$164=3,CS186,IF($A$164=4,DS186))))</f>
        <v>#DIV/0!</v>
      </c>
      <c r="M186" s="60" t="e">
        <f t="shared" ref="M186:M191" si="128">IF($A$164=1,AQ186,IF($A$164=2,BT186,IF($A$164=3,CT186,IF($A$164=4,DT186))))</f>
        <v>#DIV/0!</v>
      </c>
      <c r="AB186" s="60" t="s">
        <v>3411</v>
      </c>
      <c r="AC186" s="60" t="s">
        <v>2699</v>
      </c>
      <c r="AD186" s="60" t="s">
        <v>2701</v>
      </c>
      <c r="AE186" s="60" t="s">
        <v>2703</v>
      </c>
      <c r="AF186" s="60" t="s">
        <v>2705</v>
      </c>
      <c r="AI186" s="60" t="s">
        <v>3411</v>
      </c>
      <c r="AK186" s="60" t="s">
        <v>2699</v>
      </c>
      <c r="AM186" s="60" t="s">
        <v>2701</v>
      </c>
      <c r="AO186" s="60" t="s">
        <v>2703</v>
      </c>
      <c r="AQ186" s="60" t="s">
        <v>2705</v>
      </c>
      <c r="AW186" s="60" t="s">
        <v>1669</v>
      </c>
      <c r="BI186" s="60" t="s">
        <v>3411</v>
      </c>
      <c r="BJ186" s="60" t="s">
        <v>2699</v>
      </c>
      <c r="BK186" s="60" t="s">
        <v>2701</v>
      </c>
      <c r="BL186" s="60" t="s">
        <v>2703</v>
      </c>
      <c r="BM186" s="60" t="s">
        <v>2705</v>
      </c>
      <c r="BP186" s="60" t="s">
        <v>3411</v>
      </c>
      <c r="BQ186" s="60" t="s">
        <v>2699</v>
      </c>
      <c r="BR186" s="60" t="s">
        <v>2701</v>
      </c>
      <c r="BS186" s="60" t="s">
        <v>2703</v>
      </c>
      <c r="BT186" s="60" t="s">
        <v>2705</v>
      </c>
      <c r="BW186" s="60" t="s">
        <v>1669</v>
      </c>
      <c r="CI186" s="60" t="s">
        <v>3411</v>
      </c>
      <c r="CJ186" s="60" t="s">
        <v>2699</v>
      </c>
      <c r="CK186" s="60" t="s">
        <v>2701</v>
      </c>
      <c r="CL186" s="60" t="s">
        <v>2703</v>
      </c>
      <c r="CM186" s="60" t="s">
        <v>2705</v>
      </c>
      <c r="CP186" s="60" t="s">
        <v>3411</v>
      </c>
      <c r="CQ186" s="60" t="s">
        <v>2699</v>
      </c>
      <c r="CR186" s="60" t="s">
        <v>2701</v>
      </c>
      <c r="CS186" s="60" t="s">
        <v>2703</v>
      </c>
      <c r="CT186" s="60" t="s">
        <v>2705</v>
      </c>
      <c r="CW186" s="60" t="s">
        <v>1669</v>
      </c>
      <c r="DI186" s="60" t="s">
        <v>3411</v>
      </c>
      <c r="DJ186" s="60" t="s">
        <v>2699</v>
      </c>
      <c r="DK186" s="60" t="s">
        <v>2701</v>
      </c>
      <c r="DL186" s="60" t="s">
        <v>2703</v>
      </c>
      <c r="DM186" s="60" t="s">
        <v>2705</v>
      </c>
      <c r="DP186" s="60" t="s">
        <v>3411</v>
      </c>
      <c r="DQ186" s="60" t="s">
        <v>2699</v>
      </c>
      <c r="DR186" s="60" t="s">
        <v>2701</v>
      </c>
      <c r="DS186" s="60" t="s">
        <v>2703</v>
      </c>
      <c r="DT186" s="60" t="s">
        <v>2705</v>
      </c>
      <c r="DW186" s="60" t="s">
        <v>1669</v>
      </c>
    </row>
    <row r="187" spans="2:130" x14ac:dyDescent="0.2">
      <c r="B187" s="60" t="e">
        <f t="shared" si="122"/>
        <v>#DIV/0!</v>
      </c>
      <c r="C187" s="60" t="e">
        <f t="shared" si="124"/>
        <v>#DIV/0!</v>
      </c>
      <c r="D187" s="60" t="e">
        <f t="shared" si="124"/>
        <v>#DIV/0!</v>
      </c>
      <c r="E187" s="60" t="e">
        <f t="shared" si="124"/>
        <v>#DIV/0!</v>
      </c>
      <c r="F187" s="60" t="e">
        <f t="shared" si="124"/>
        <v>#DIV/0!</v>
      </c>
      <c r="I187" s="60" t="e">
        <f t="shared" si="123"/>
        <v>#DIV/0!</v>
      </c>
      <c r="J187" s="60" t="e">
        <f t="shared" si="125"/>
        <v>#DIV/0!</v>
      </c>
      <c r="K187" s="60" t="e">
        <f t="shared" si="126"/>
        <v>#DIV/0!</v>
      </c>
      <c r="L187" s="60" t="e">
        <f t="shared" si="127"/>
        <v>#DIV/0!</v>
      </c>
      <c r="M187" s="60" t="e">
        <f t="shared" si="128"/>
        <v>#DIV/0!</v>
      </c>
      <c r="AB187" s="60" t="s">
        <v>3970</v>
      </c>
      <c r="AC187" s="60">
        <v>0.88206145232126509</v>
      </c>
      <c r="AD187" s="60">
        <v>0.83528848579368742</v>
      </c>
      <c r="AE187" s="60">
        <v>0.79338163584819765</v>
      </c>
      <c r="AF187" s="60">
        <v>0.75212282810777664</v>
      </c>
      <c r="AI187" s="60" t="s">
        <v>3970</v>
      </c>
      <c r="AK187" s="60">
        <v>0.85029517806651833</v>
      </c>
      <c r="AM187" s="60">
        <v>0.79365778519670027</v>
      </c>
      <c r="AO187" s="60">
        <v>0.75158517450681539</v>
      </c>
      <c r="AQ187" s="60">
        <v>0.71177609728859914</v>
      </c>
      <c r="BI187" s="60" t="s">
        <v>3970</v>
      </c>
      <c r="BJ187" s="60">
        <v>0.87739865850102072</v>
      </c>
      <c r="BK187" s="60">
        <v>0.82319123723687504</v>
      </c>
      <c r="BL187" s="60">
        <v>0.77105275016530694</v>
      </c>
      <c r="BM187" s="60">
        <v>0.74077010708589652</v>
      </c>
      <c r="BP187" s="60" t="s">
        <v>3970</v>
      </c>
      <c r="BQ187" s="60">
        <v>0.85059485025124104</v>
      </c>
      <c r="BR187" s="60">
        <v>0.79351001188114467</v>
      </c>
      <c r="BS187" s="60">
        <v>0.74430140203913298</v>
      </c>
      <c r="BT187" s="60">
        <v>0.69902928261007202</v>
      </c>
      <c r="CI187" s="60" t="s">
        <v>3970</v>
      </c>
      <c r="CJ187" s="60">
        <v>0.87856083610512958</v>
      </c>
      <c r="CK187" s="60">
        <v>0.83612216988416344</v>
      </c>
      <c r="CL187" s="60">
        <v>0.77327843973280297</v>
      </c>
      <c r="CM187" s="60">
        <v>0.73826461975299384</v>
      </c>
      <c r="CP187" s="60" t="s">
        <v>3970</v>
      </c>
      <c r="CQ187" s="60">
        <v>0.84338378534753633</v>
      </c>
      <c r="CR187" s="60">
        <v>0.79211627965202069</v>
      </c>
      <c r="CS187" s="60">
        <v>0.74732693251117965</v>
      </c>
      <c r="CT187" s="60">
        <v>0.70320779135332623</v>
      </c>
      <c r="DI187" s="60" t="s">
        <v>3970</v>
      </c>
      <c r="DJ187" s="60">
        <v>0.87972301370923844</v>
      </c>
      <c r="DK187" s="60">
        <v>0.84905310253145183</v>
      </c>
      <c r="DL187" s="60">
        <v>0.77550412930029899</v>
      </c>
      <c r="DM187" s="60">
        <v>0.73575913242009128</v>
      </c>
      <c r="DP187" s="60" t="s">
        <v>3970</v>
      </c>
      <c r="DQ187" s="60">
        <v>0.83617272044383151</v>
      </c>
      <c r="DR187" s="60">
        <v>0.7907225474228966</v>
      </c>
      <c r="DS187" s="60">
        <v>0.75035246298322633</v>
      </c>
      <c r="DT187" s="60">
        <v>0.70738630009658043</v>
      </c>
    </row>
    <row r="188" spans="2:130" x14ac:dyDescent="0.2">
      <c r="B188" s="60" t="e">
        <f t="shared" si="122"/>
        <v>#DIV/0!</v>
      </c>
      <c r="C188" s="60" t="e">
        <f t="shared" si="124"/>
        <v>#DIV/0!</v>
      </c>
      <c r="D188" s="60" t="e">
        <f t="shared" si="124"/>
        <v>#DIV/0!</v>
      </c>
      <c r="E188" s="60" t="e">
        <f t="shared" si="124"/>
        <v>#DIV/0!</v>
      </c>
      <c r="F188" s="60" t="e">
        <f t="shared" si="124"/>
        <v>#DIV/0!</v>
      </c>
      <c r="I188" s="60" t="e">
        <f t="shared" si="123"/>
        <v>#DIV/0!</v>
      </c>
      <c r="J188" s="60" t="e">
        <f t="shared" si="125"/>
        <v>#DIV/0!</v>
      </c>
      <c r="K188" s="60" t="e">
        <f t="shared" si="126"/>
        <v>#DIV/0!</v>
      </c>
      <c r="L188" s="60" t="e">
        <f t="shared" si="127"/>
        <v>#DIV/0!</v>
      </c>
      <c r="M188" s="60" t="e">
        <f t="shared" si="128"/>
        <v>#DIV/0!</v>
      </c>
      <c r="AB188" s="60" t="s">
        <v>3972</v>
      </c>
      <c r="AC188" s="60">
        <v>0.94199460349002939</v>
      </c>
      <c r="AD188" s="60">
        <v>0.91118273599375321</v>
      </c>
      <c r="AE188" s="60">
        <v>0.89247087600746144</v>
      </c>
      <c r="AF188" s="60">
        <v>0.87699186046045163</v>
      </c>
      <c r="AI188" s="60" t="s">
        <v>3972</v>
      </c>
      <c r="AK188" s="60">
        <v>0.92212747738308676</v>
      </c>
      <c r="AM188" s="60">
        <v>0.89290953851095378</v>
      </c>
      <c r="AO188" s="60">
        <v>0.87554185309340493</v>
      </c>
      <c r="AQ188" s="60">
        <v>0.85352060124106366</v>
      </c>
      <c r="AW188" s="60" t="s">
        <v>1670</v>
      </c>
      <c r="BI188" s="60" t="s">
        <v>3972</v>
      </c>
      <c r="BJ188" s="60">
        <v>0.93448137531195685</v>
      </c>
      <c r="BK188" s="60">
        <v>0.91445256895871108</v>
      </c>
      <c r="BL188" s="60">
        <v>0.88298777510159832</v>
      </c>
      <c r="BM188" s="60">
        <v>0.87346345662135139</v>
      </c>
      <c r="BP188" s="60" t="s">
        <v>3972</v>
      </c>
      <c r="BQ188" s="60">
        <v>0.92358692014853061</v>
      </c>
      <c r="BR188" s="60">
        <v>0.89443666723815041</v>
      </c>
      <c r="BS188" s="60">
        <v>0.87428212081714118</v>
      </c>
      <c r="BT188" s="60">
        <v>0.84191023429977963</v>
      </c>
      <c r="BW188" s="60" t="s">
        <v>1670</v>
      </c>
      <c r="CI188" s="60" t="s">
        <v>3972</v>
      </c>
      <c r="CJ188" s="60">
        <v>0.94135251395247965</v>
      </c>
      <c r="CK188" s="60">
        <v>0.91603336280591252</v>
      </c>
      <c r="CL188" s="60">
        <v>0.88230619438567781</v>
      </c>
      <c r="CM188" s="60">
        <v>0.87253366894994522</v>
      </c>
      <c r="CP188" s="60" t="s">
        <v>3972</v>
      </c>
      <c r="CQ188" s="60">
        <v>0.91593102768685486</v>
      </c>
      <c r="CR188" s="60">
        <v>0.89954848328364989</v>
      </c>
      <c r="CS188" s="60">
        <v>0.87552380068979985</v>
      </c>
      <c r="CT188" s="60">
        <v>0.84936723073723708</v>
      </c>
      <c r="CW188" s="60" t="s">
        <v>1670</v>
      </c>
      <c r="DI188" s="60" t="s">
        <v>3972</v>
      </c>
      <c r="DJ188" s="60">
        <v>0.94822365259300245</v>
      </c>
      <c r="DK188" s="60">
        <v>0.91761415665311408</v>
      </c>
      <c r="DL188" s="60">
        <v>0.8816246136697572</v>
      </c>
      <c r="DM188" s="60">
        <v>0.87160388127853894</v>
      </c>
      <c r="DP188" s="60" t="s">
        <v>3972</v>
      </c>
      <c r="DQ188" s="60">
        <v>0.90827513522517922</v>
      </c>
      <c r="DR188" s="60">
        <v>0.90466029932914938</v>
      </c>
      <c r="DS188" s="60">
        <v>0.87676548056245862</v>
      </c>
      <c r="DT188" s="60">
        <v>0.85682422717469442</v>
      </c>
      <c r="DW188" s="60" t="s">
        <v>1670</v>
      </c>
    </row>
    <row r="189" spans="2:130" x14ac:dyDescent="0.2">
      <c r="B189" s="60" t="e">
        <f t="shared" si="122"/>
        <v>#DIV/0!</v>
      </c>
      <c r="C189" s="60" t="e">
        <f t="shared" si="124"/>
        <v>#DIV/0!</v>
      </c>
      <c r="D189" s="60" t="e">
        <f t="shared" si="124"/>
        <v>#DIV/0!</v>
      </c>
      <c r="E189" s="60" t="e">
        <f t="shared" si="124"/>
        <v>#DIV/0!</v>
      </c>
      <c r="F189" s="60" t="e">
        <f t="shared" si="124"/>
        <v>#DIV/0!</v>
      </c>
      <c r="I189" s="60" t="e">
        <f t="shared" si="123"/>
        <v>#DIV/0!</v>
      </c>
      <c r="J189" s="60" t="e">
        <f t="shared" si="125"/>
        <v>#DIV/0!</v>
      </c>
      <c r="K189" s="60" t="e">
        <f t="shared" si="126"/>
        <v>#DIV/0!</v>
      </c>
      <c r="L189" s="60" t="e">
        <f t="shared" si="127"/>
        <v>#DIV/0!</v>
      </c>
      <c r="M189" s="60" t="e">
        <f t="shared" si="128"/>
        <v>#DIV/0!</v>
      </c>
      <c r="AB189" s="60" t="s">
        <v>3974</v>
      </c>
      <c r="AC189" s="60">
        <v>1</v>
      </c>
      <c r="AD189" s="60">
        <v>1</v>
      </c>
      <c r="AE189" s="60">
        <v>1</v>
      </c>
      <c r="AF189" s="60">
        <v>1</v>
      </c>
      <c r="AI189" s="60" t="s">
        <v>3974</v>
      </c>
      <c r="AK189" s="60">
        <v>1</v>
      </c>
      <c r="AM189" s="60">
        <v>1</v>
      </c>
      <c r="AO189" s="60">
        <v>1</v>
      </c>
      <c r="AQ189" s="60">
        <v>1</v>
      </c>
      <c r="AW189" s="60" t="s">
        <v>1671</v>
      </c>
      <c r="BI189" s="60" t="s">
        <v>3974</v>
      </c>
      <c r="BJ189" s="60">
        <v>1</v>
      </c>
      <c r="BK189" s="60">
        <v>1</v>
      </c>
      <c r="BL189" s="60">
        <v>1</v>
      </c>
      <c r="BM189" s="60">
        <v>1</v>
      </c>
      <c r="BP189" s="60" t="s">
        <v>3974</v>
      </c>
      <c r="BQ189" s="60">
        <v>1</v>
      </c>
      <c r="BR189" s="60">
        <v>1</v>
      </c>
      <c r="BS189" s="60">
        <v>1</v>
      </c>
      <c r="BT189" s="60">
        <v>1</v>
      </c>
      <c r="BW189" s="60" t="s">
        <v>1671</v>
      </c>
      <c r="CI189" s="60" t="s">
        <v>3974</v>
      </c>
      <c r="CJ189" s="60">
        <v>1</v>
      </c>
      <c r="CK189" s="60">
        <v>1</v>
      </c>
      <c r="CL189" s="60">
        <v>1</v>
      </c>
      <c r="CM189" s="60">
        <v>1</v>
      </c>
      <c r="CP189" s="60" t="s">
        <v>3974</v>
      </c>
      <c r="CQ189" s="60">
        <v>1</v>
      </c>
      <c r="CR189" s="60">
        <v>1</v>
      </c>
      <c r="CS189" s="60">
        <v>1</v>
      </c>
      <c r="CT189" s="60">
        <v>1</v>
      </c>
      <c r="CW189" s="60" t="s">
        <v>227</v>
      </c>
      <c r="DI189" s="60" t="s">
        <v>3974</v>
      </c>
      <c r="DJ189" s="60">
        <v>1</v>
      </c>
      <c r="DK189" s="60">
        <v>1</v>
      </c>
      <c r="DL189" s="60">
        <v>1</v>
      </c>
      <c r="DM189" s="60">
        <v>1</v>
      </c>
      <c r="DP189" s="60" t="s">
        <v>3974</v>
      </c>
      <c r="DQ189" s="60">
        <v>1</v>
      </c>
      <c r="DR189" s="60">
        <v>1</v>
      </c>
      <c r="DS189" s="60">
        <v>1</v>
      </c>
      <c r="DT189" s="60">
        <v>1</v>
      </c>
      <c r="DW189" s="60" t="s">
        <v>1671</v>
      </c>
    </row>
    <row r="190" spans="2:130" x14ac:dyDescent="0.2">
      <c r="B190" s="60" t="e">
        <f t="shared" si="122"/>
        <v>#DIV/0!</v>
      </c>
      <c r="C190" s="60" t="e">
        <f t="shared" si="124"/>
        <v>#DIV/0!</v>
      </c>
      <c r="D190" s="60" t="e">
        <f t="shared" si="124"/>
        <v>#DIV/0!</v>
      </c>
      <c r="E190" s="60" t="e">
        <f t="shared" si="124"/>
        <v>#DIV/0!</v>
      </c>
      <c r="F190" s="60" t="e">
        <f t="shared" si="124"/>
        <v>#DIV/0!</v>
      </c>
      <c r="I190" s="60" t="e">
        <f t="shared" si="123"/>
        <v>#DIV/0!</v>
      </c>
      <c r="J190" s="60" t="e">
        <f t="shared" si="125"/>
        <v>#DIV/0!</v>
      </c>
      <c r="K190" s="60" t="e">
        <f t="shared" si="126"/>
        <v>#DIV/0!</v>
      </c>
      <c r="L190" s="60" t="e">
        <f t="shared" si="127"/>
        <v>#DIV/0!</v>
      </c>
      <c r="M190" s="60" t="e">
        <f t="shared" si="128"/>
        <v>#DIV/0!</v>
      </c>
      <c r="AB190" s="60" t="s">
        <v>3976</v>
      </c>
      <c r="AC190" s="60">
        <v>1.2100293686468462</v>
      </c>
      <c r="AD190" s="60">
        <v>1.3397788691030215</v>
      </c>
      <c r="AE190" s="60">
        <v>1.3997628016707484</v>
      </c>
      <c r="AF190" s="60">
        <v>1.465582286193895</v>
      </c>
      <c r="AI190" s="60" t="s">
        <v>3976</v>
      </c>
      <c r="AK190" s="60">
        <v>1.3382669595970802</v>
      </c>
      <c r="AM190" s="60">
        <v>1.4746937424826574</v>
      </c>
      <c r="AO190" s="60">
        <v>1.5880950470314483</v>
      </c>
      <c r="AQ190" s="60">
        <v>1.6563577490684906</v>
      </c>
      <c r="AW190" s="60" t="s">
        <v>1672</v>
      </c>
      <c r="BI190" s="60" t="s">
        <v>3976</v>
      </c>
      <c r="BJ190" s="60">
        <v>1.2258840628792369</v>
      </c>
      <c r="BK190" s="60">
        <v>1.3279109697170461</v>
      </c>
      <c r="BL190" s="60">
        <v>1.4229117752818494</v>
      </c>
      <c r="BM190" s="60">
        <v>1.4812632591579959</v>
      </c>
      <c r="BP190" s="60" t="s">
        <v>3976</v>
      </c>
      <c r="BQ190" s="60">
        <v>1.3536908155764924</v>
      </c>
      <c r="BR190" s="60">
        <v>1.4654316763253994</v>
      </c>
      <c r="BS190" s="60">
        <v>1.5702856697567564</v>
      </c>
      <c r="BT190" s="60">
        <v>1.6411858940141244</v>
      </c>
      <c r="BW190" s="60" t="s">
        <v>1672</v>
      </c>
      <c r="CI190" s="60" t="s">
        <v>3976</v>
      </c>
      <c r="CJ190" s="60">
        <v>1.228372156232636</v>
      </c>
      <c r="CK190" s="60">
        <v>1.3573242399891894</v>
      </c>
      <c r="CL190" s="60">
        <v>1.4394603969381836</v>
      </c>
      <c r="CM190" s="60">
        <v>1.4938660283613419</v>
      </c>
      <c r="CP190" s="60" t="s">
        <v>3976</v>
      </c>
      <c r="CQ190" s="60">
        <v>1.3535846771792777</v>
      </c>
      <c r="CR190" s="60">
        <v>1.4849151271636027</v>
      </c>
      <c r="CS190" s="60">
        <v>1.5724861196160838</v>
      </c>
      <c r="CT190" s="60">
        <v>1.6604443819169084</v>
      </c>
      <c r="CW190" s="60" t="s">
        <v>1672</v>
      </c>
      <c r="DI190" s="60" t="s">
        <v>3976</v>
      </c>
      <c r="DJ190" s="60">
        <v>1.2308602495860352</v>
      </c>
      <c r="DK190" s="60">
        <v>1.3867375102613326</v>
      </c>
      <c r="DL190" s="60">
        <v>1.4560090185945178</v>
      </c>
      <c r="DM190" s="60">
        <v>1.506468797564688</v>
      </c>
      <c r="DP190" s="60" t="s">
        <v>3976</v>
      </c>
      <c r="DQ190" s="60">
        <v>1.3534785387820627</v>
      </c>
      <c r="DR190" s="60">
        <v>1.5043985780018061</v>
      </c>
      <c r="DS190" s="60">
        <v>1.5746865694754111</v>
      </c>
      <c r="DT190" s="60">
        <v>1.6797028698196921</v>
      </c>
      <c r="DW190" s="60" t="s">
        <v>1672</v>
      </c>
    </row>
    <row r="191" spans="2:130" x14ac:dyDescent="0.2">
      <c r="B191" s="60" t="e">
        <f t="shared" si="122"/>
        <v>#DIV/0!</v>
      </c>
      <c r="C191" s="60" t="e">
        <f t="shared" si="124"/>
        <v>#DIV/0!</v>
      </c>
      <c r="D191" s="60" t="e">
        <f t="shared" si="124"/>
        <v>#DIV/0!</v>
      </c>
      <c r="E191" s="60" t="e">
        <f t="shared" si="124"/>
        <v>#DIV/0!</v>
      </c>
      <c r="F191" s="60" t="e">
        <f t="shared" si="124"/>
        <v>#DIV/0!</v>
      </c>
      <c r="I191" s="60" t="e">
        <f t="shared" si="123"/>
        <v>#DIV/0!</v>
      </c>
      <c r="J191" s="60" t="e">
        <f t="shared" si="125"/>
        <v>#DIV/0!</v>
      </c>
      <c r="K191" s="60" t="e">
        <f t="shared" si="126"/>
        <v>#DIV/0!</v>
      </c>
      <c r="L191" s="60" t="e">
        <f t="shared" si="127"/>
        <v>#DIV/0!</v>
      </c>
      <c r="M191" s="60" t="e">
        <f t="shared" si="128"/>
        <v>#DIV/0!</v>
      </c>
      <c r="AB191" s="60" t="s">
        <v>3977</v>
      </c>
      <c r="AC191" s="60">
        <v>1.4301026945689903</v>
      </c>
      <c r="AD191" s="60">
        <v>1.6442613983391869</v>
      </c>
      <c r="AE191" s="60">
        <v>1.8188537334682102</v>
      </c>
      <c r="AF191" s="60">
        <v>1.9558724720781389</v>
      </c>
      <c r="AI191" s="60" t="s">
        <v>3977</v>
      </c>
      <c r="AK191" s="60">
        <v>1.6756816797815268</v>
      </c>
      <c r="AM191" s="60">
        <v>1.9596221397164797</v>
      </c>
      <c r="AO191" s="60">
        <v>2.1706400721291108</v>
      </c>
      <c r="AQ191" s="60">
        <v>2.3255998167652661</v>
      </c>
      <c r="AW191" s="60" t="s">
        <v>204</v>
      </c>
      <c r="BI191" s="60" t="s">
        <v>3977</v>
      </c>
      <c r="BJ191" s="60">
        <v>1.4721387649124502</v>
      </c>
      <c r="BK191" s="60">
        <v>1.7005361897192259</v>
      </c>
      <c r="BL191" s="60">
        <v>1.8574881066351778</v>
      </c>
      <c r="BM191" s="60">
        <v>2.0191853370800739</v>
      </c>
      <c r="BP191" s="60" t="s">
        <v>3977</v>
      </c>
      <c r="BQ191" s="60">
        <v>1.6987005428436792</v>
      </c>
      <c r="BR191" s="60">
        <v>1.9523147505060638</v>
      </c>
      <c r="BS191" s="60">
        <v>2.1497966474275918</v>
      </c>
      <c r="BT191" s="60">
        <v>2.3003064748245357</v>
      </c>
      <c r="BW191" s="60" t="s">
        <v>204</v>
      </c>
      <c r="CI191" s="60" t="s">
        <v>3977</v>
      </c>
      <c r="CJ191" s="60">
        <v>1.4991858597354231</v>
      </c>
      <c r="CK191" s="60">
        <v>1.7360552872081598</v>
      </c>
      <c r="CL191" s="60">
        <v>1.9118669105569532</v>
      </c>
      <c r="CM191" s="60">
        <v>2.0530144721930048</v>
      </c>
      <c r="CP191" s="60" t="s">
        <v>3977</v>
      </c>
      <c r="CQ191" s="60">
        <v>1.7012785479890749</v>
      </c>
      <c r="CR191" s="60">
        <v>1.9676027794159305</v>
      </c>
      <c r="CS191" s="60">
        <v>2.1408072891868839</v>
      </c>
      <c r="CT191" s="60">
        <v>2.3207854128692098</v>
      </c>
      <c r="CW191" s="60" t="s">
        <v>204</v>
      </c>
      <c r="DI191" s="60" t="s">
        <v>3977</v>
      </c>
      <c r="DJ191" s="60">
        <v>1.5262329545583959</v>
      </c>
      <c r="DK191" s="60">
        <v>1.7715743846970939</v>
      </c>
      <c r="DL191" s="60">
        <v>1.9662457144787286</v>
      </c>
      <c r="DM191" s="60">
        <v>2.0868436073059358</v>
      </c>
      <c r="DP191" s="60" t="s">
        <v>3977</v>
      </c>
      <c r="DQ191" s="60">
        <v>1.7038565531344703</v>
      </c>
      <c r="DR191" s="60">
        <v>1.9828908083257972</v>
      </c>
      <c r="DS191" s="60">
        <v>2.131817930946176</v>
      </c>
      <c r="DT191" s="60">
        <v>2.341264350913884</v>
      </c>
      <c r="DW191" s="60" t="s">
        <v>204</v>
      </c>
    </row>
    <row r="194" spans="2:131" x14ac:dyDescent="0.2">
      <c r="B194" s="60" t="e">
        <f>IF($A$164=1,AB194,IF($A$164=2,BI194,IF($A$164=3,CI194,IF($A$164=4,DI194))))</f>
        <v>#DIV/0!</v>
      </c>
      <c r="L194" s="60" t="e">
        <f t="shared" ref="L194:L200" si="129">IF($A$164=1,AO194,IF($A$164=2,BS194,IF($A$164=3,CS194,IF($A$164=4,DS194))))</f>
        <v>#DIV/0!</v>
      </c>
      <c r="AB194" s="60" t="s">
        <v>205</v>
      </c>
      <c r="AO194" s="60" t="s">
        <v>206</v>
      </c>
      <c r="BI194" s="60" t="s">
        <v>205</v>
      </c>
      <c r="BS194" s="60" t="s">
        <v>206</v>
      </c>
      <c r="CI194" s="60" t="s">
        <v>205</v>
      </c>
      <c r="CS194" s="60" t="s">
        <v>206</v>
      </c>
      <c r="DI194" s="60" t="s">
        <v>205</v>
      </c>
      <c r="DS194" s="60" t="s">
        <v>206</v>
      </c>
    </row>
    <row r="195" spans="2:131" x14ac:dyDescent="0.2">
      <c r="L195" s="60" t="e">
        <f t="shared" si="129"/>
        <v>#DIV/0!</v>
      </c>
      <c r="M195" s="60" t="e">
        <f t="shared" ref="M195:M200" si="130">IF($A$164=1,AQ195,IF($A$164=2,BT195,IF($A$164=3,CT195,IF($A$164=4,DT195))))</f>
        <v>#DIV/0!</v>
      </c>
      <c r="N195" s="60" t="e">
        <f t="shared" ref="N195:N200" si="131">IF($A$164=1,AS195,IF($A$164=2,BU195,IF($A$164=3,CU195,IF($A$164=4,DU195))))</f>
        <v>#DIV/0!</v>
      </c>
      <c r="AO195" s="60" t="s">
        <v>3411</v>
      </c>
      <c r="AQ195" s="60" t="s">
        <v>207</v>
      </c>
      <c r="AS195" s="60" t="s">
        <v>208</v>
      </c>
      <c r="BS195" s="60" t="s">
        <v>3411</v>
      </c>
      <c r="BT195" s="60" t="s">
        <v>207</v>
      </c>
      <c r="BU195" s="60" t="s">
        <v>208</v>
      </c>
      <c r="CS195" s="60" t="s">
        <v>3411</v>
      </c>
      <c r="CT195" s="60" t="s">
        <v>207</v>
      </c>
      <c r="CU195" s="60" t="s">
        <v>208</v>
      </c>
      <c r="DS195" s="60" t="s">
        <v>3411</v>
      </c>
      <c r="DT195" s="60" t="s">
        <v>207</v>
      </c>
      <c r="DU195" s="60" t="s">
        <v>208</v>
      </c>
    </row>
    <row r="196" spans="2:131" x14ac:dyDescent="0.2">
      <c r="B196" s="60" t="e">
        <f>IF($A$164=1,AB196,IF($A$164=2,BI196,IF($A$164=3,CI196,IF($A$164=4,DI196))))</f>
        <v>#DIV/0!</v>
      </c>
      <c r="L196" s="60" t="e">
        <f t="shared" si="129"/>
        <v>#DIV/0!</v>
      </c>
      <c r="M196" s="60" t="e">
        <f t="shared" si="130"/>
        <v>#DIV/0!</v>
      </c>
      <c r="N196" s="60" t="e">
        <f t="shared" si="131"/>
        <v>#DIV/0!</v>
      </c>
      <c r="AB196" s="60" t="s">
        <v>209</v>
      </c>
      <c r="AO196" s="60" t="s">
        <v>3970</v>
      </c>
      <c r="AQ196" s="60">
        <v>0.83909155494796828</v>
      </c>
      <c r="AS196" s="60">
        <v>0.16090844505203167</v>
      </c>
      <c r="BI196" s="60" t="s">
        <v>209</v>
      </c>
      <c r="BS196" s="60" t="s">
        <v>3970</v>
      </c>
      <c r="BT196" s="60">
        <v>0.83387467282079242</v>
      </c>
      <c r="BU196" s="60">
        <v>0.16612532717920758</v>
      </c>
      <c r="CI196" s="60" t="s">
        <v>209</v>
      </c>
      <c r="CS196" s="60" t="s">
        <v>3970</v>
      </c>
      <c r="CT196" s="60">
        <v>0.83411847346704515</v>
      </c>
      <c r="CU196" s="60">
        <v>0.16588152653295485</v>
      </c>
      <c r="DI196" s="60" t="s">
        <v>209</v>
      </c>
      <c r="DS196" s="60" t="s">
        <v>3970</v>
      </c>
      <c r="DT196" s="60">
        <v>0.83436227411329789</v>
      </c>
      <c r="DU196" s="60">
        <v>0.16563772588670209</v>
      </c>
    </row>
    <row r="197" spans="2:131" x14ac:dyDescent="0.2">
      <c r="B197" s="60">
        <v>3000</v>
      </c>
      <c r="C197" s="60">
        <v>3000</v>
      </c>
      <c r="D197" s="60">
        <v>6000</v>
      </c>
      <c r="E197" s="60">
        <v>6000</v>
      </c>
      <c r="F197" s="60">
        <v>9000</v>
      </c>
      <c r="G197" s="60">
        <v>9000</v>
      </c>
      <c r="H197" s="60">
        <v>12000</v>
      </c>
      <c r="I197" s="60">
        <v>12000</v>
      </c>
      <c r="J197" s="60">
        <v>15000</v>
      </c>
      <c r="K197" s="60">
        <v>15000</v>
      </c>
      <c r="L197" s="60" t="e">
        <f t="shared" si="129"/>
        <v>#DIV/0!</v>
      </c>
      <c r="M197" s="60" t="e">
        <f t="shared" si="130"/>
        <v>#DIV/0!</v>
      </c>
      <c r="N197" s="60" t="e">
        <f t="shared" si="131"/>
        <v>#DIV/0!</v>
      </c>
      <c r="AB197" s="60" t="s">
        <v>210</v>
      </c>
      <c r="AD197" s="60" t="s">
        <v>211</v>
      </c>
      <c r="AF197" s="60" t="s">
        <v>212</v>
      </c>
      <c r="AH197" s="60" t="s">
        <v>213</v>
      </c>
      <c r="AK197" s="60" t="s">
        <v>214</v>
      </c>
      <c r="AO197" s="60" t="s">
        <v>3972</v>
      </c>
      <c r="AQ197" s="60">
        <v>0.82263166568426471</v>
      </c>
      <c r="AS197" s="60">
        <v>0.17736833431573534</v>
      </c>
      <c r="BI197" s="60" t="s">
        <v>210</v>
      </c>
      <c r="BK197" s="60" t="s">
        <v>211</v>
      </c>
      <c r="BM197" s="60" t="s">
        <v>212</v>
      </c>
      <c r="BO197" s="60" t="s">
        <v>213</v>
      </c>
      <c r="BQ197" s="60" t="s">
        <v>214</v>
      </c>
      <c r="BS197" s="60" t="s">
        <v>3972</v>
      </c>
      <c r="BT197" s="60">
        <v>0.81644159370082148</v>
      </c>
      <c r="BU197" s="60">
        <v>0.18355840629917855</v>
      </c>
      <c r="CI197" s="60" t="s">
        <v>210</v>
      </c>
      <c r="CK197" s="60" t="s">
        <v>211</v>
      </c>
      <c r="CM197" s="60" t="s">
        <v>212</v>
      </c>
      <c r="CO197" s="60" t="s">
        <v>213</v>
      </c>
      <c r="CQ197" s="60" t="s">
        <v>214</v>
      </c>
      <c r="CS197" s="60" t="s">
        <v>3972</v>
      </c>
      <c r="CT197" s="60">
        <v>0.81639090632651024</v>
      </c>
      <c r="CU197" s="60">
        <v>0.18360909367348988</v>
      </c>
      <c r="DI197" s="60" t="s">
        <v>210</v>
      </c>
      <c r="DK197" s="60" t="s">
        <v>211</v>
      </c>
      <c r="DM197" s="60" t="s">
        <v>212</v>
      </c>
      <c r="DO197" s="60" t="s">
        <v>213</v>
      </c>
      <c r="DQ197" s="60" t="s">
        <v>214</v>
      </c>
      <c r="DS197" s="60" t="s">
        <v>3972</v>
      </c>
      <c r="DT197" s="60">
        <v>0.81634021895219888</v>
      </c>
      <c r="DU197" s="60">
        <v>0.18365978104780123</v>
      </c>
    </row>
    <row r="198" spans="2:131" x14ac:dyDescent="0.2">
      <c r="B198" s="60" t="s">
        <v>30</v>
      </c>
      <c r="C198" s="60" t="s">
        <v>851</v>
      </c>
      <c r="D198" s="60" t="s">
        <v>30</v>
      </c>
      <c r="E198" s="60" t="s">
        <v>851</v>
      </c>
      <c r="F198" s="60" t="s">
        <v>30</v>
      </c>
      <c r="G198" s="60" t="s">
        <v>851</v>
      </c>
      <c r="H198" s="60" t="s">
        <v>30</v>
      </c>
      <c r="I198" s="60" t="s">
        <v>851</v>
      </c>
      <c r="J198" s="60" t="s">
        <v>30</v>
      </c>
      <c r="K198" s="60" t="s">
        <v>851</v>
      </c>
      <c r="L198" s="60" t="e">
        <f t="shared" si="129"/>
        <v>#DIV/0!</v>
      </c>
      <c r="M198" s="60" t="e">
        <f t="shared" si="130"/>
        <v>#DIV/0!</v>
      </c>
      <c r="N198" s="60" t="e">
        <f t="shared" si="131"/>
        <v>#DIV/0!</v>
      </c>
      <c r="AB198" s="60" t="s">
        <v>30</v>
      </c>
      <c r="AC198" s="60" t="s">
        <v>851</v>
      </c>
      <c r="AD198" s="60" t="s">
        <v>30</v>
      </c>
      <c r="AE198" s="60" t="s">
        <v>851</v>
      </c>
      <c r="AF198" s="60" t="s">
        <v>30</v>
      </c>
      <c r="AG198" s="60" t="s">
        <v>851</v>
      </c>
      <c r="AH198" s="60" t="s">
        <v>30</v>
      </c>
      <c r="AI198" s="60" t="s">
        <v>851</v>
      </c>
      <c r="AK198" s="60" t="s">
        <v>30</v>
      </c>
      <c r="AM198" s="60" t="s">
        <v>851</v>
      </c>
      <c r="AO198" s="60" t="s">
        <v>3974</v>
      </c>
      <c r="AQ198" s="60">
        <v>0.80777463011460104</v>
      </c>
      <c r="AS198" s="60">
        <v>0.1922253698853989</v>
      </c>
      <c r="BI198" s="60" t="s">
        <v>30</v>
      </c>
      <c r="BJ198" s="60" t="s">
        <v>851</v>
      </c>
      <c r="BK198" s="60" t="s">
        <v>30</v>
      </c>
      <c r="BL198" s="60" t="s">
        <v>851</v>
      </c>
      <c r="BM198" s="60" t="s">
        <v>30</v>
      </c>
      <c r="BN198" s="60" t="s">
        <v>851</v>
      </c>
      <c r="BO198" s="60" t="s">
        <v>30</v>
      </c>
      <c r="BP198" s="60" t="s">
        <v>851</v>
      </c>
      <c r="BQ198" s="60" t="s">
        <v>30</v>
      </c>
      <c r="BR198" s="60" t="s">
        <v>851</v>
      </c>
      <c r="BS198" s="60" t="s">
        <v>3974</v>
      </c>
      <c r="BT198" s="60">
        <v>0.80073519237856328</v>
      </c>
      <c r="BU198" s="60">
        <v>0.19926480762143678</v>
      </c>
      <c r="CI198" s="60" t="s">
        <v>30</v>
      </c>
      <c r="CJ198" s="60" t="s">
        <v>851</v>
      </c>
      <c r="CK198" s="60" t="s">
        <v>30</v>
      </c>
      <c r="CL198" s="60" t="s">
        <v>851</v>
      </c>
      <c r="CM198" s="60" t="s">
        <v>30</v>
      </c>
      <c r="CN198" s="60" t="s">
        <v>851</v>
      </c>
      <c r="CO198" s="60" t="s">
        <v>30</v>
      </c>
      <c r="CP198" s="60" t="s">
        <v>851</v>
      </c>
      <c r="CQ198" s="60" t="s">
        <v>30</v>
      </c>
      <c r="CR198" s="60" t="s">
        <v>851</v>
      </c>
      <c r="CS198" s="60" t="s">
        <v>3974</v>
      </c>
      <c r="CT198" s="60">
        <v>0.80051111756786031</v>
      </c>
      <c r="CU198" s="60">
        <v>0.19948888243213969</v>
      </c>
      <c r="DI198" s="60" t="s">
        <v>30</v>
      </c>
      <c r="DJ198" s="60" t="s">
        <v>851</v>
      </c>
      <c r="DK198" s="60" t="s">
        <v>30</v>
      </c>
      <c r="DL198" s="60" t="s">
        <v>851</v>
      </c>
      <c r="DM198" s="60" t="s">
        <v>30</v>
      </c>
      <c r="DN198" s="60" t="s">
        <v>851</v>
      </c>
      <c r="DO198" s="60" t="s">
        <v>30</v>
      </c>
      <c r="DQ198" s="60" t="s">
        <v>30</v>
      </c>
      <c r="DR198" s="60" t="s">
        <v>851</v>
      </c>
      <c r="DS198" s="60" t="s">
        <v>3974</v>
      </c>
      <c r="DT198" s="60">
        <v>0.80028704275715745</v>
      </c>
      <c r="DU198" s="60">
        <v>0.19971295724284258</v>
      </c>
    </row>
    <row r="199" spans="2:131" x14ac:dyDescent="0.2">
      <c r="B199" s="60" t="e">
        <f t="shared" ref="B199:I199" si="132">IF($A$164=1,AB199,IF($A$164=2,BI199,IF($A$164=3,CI199,IF($A$164=4,DI199))))</f>
        <v>#DIV/0!</v>
      </c>
      <c r="C199" s="60" t="e">
        <f t="shared" si="132"/>
        <v>#DIV/0!</v>
      </c>
      <c r="D199" s="60" t="e">
        <f t="shared" si="132"/>
        <v>#DIV/0!</v>
      </c>
      <c r="E199" s="60" t="e">
        <f t="shared" si="132"/>
        <v>#DIV/0!</v>
      </c>
      <c r="F199" s="60" t="e">
        <f t="shared" si="132"/>
        <v>#DIV/0!</v>
      </c>
      <c r="G199" s="60" t="e">
        <f t="shared" si="132"/>
        <v>#DIV/0!</v>
      </c>
      <c r="H199" s="60" t="e">
        <f t="shared" si="132"/>
        <v>#DIV/0!</v>
      </c>
      <c r="I199" s="60" t="e">
        <f t="shared" si="132"/>
        <v>#DIV/0!</v>
      </c>
      <c r="J199" s="60" t="e">
        <f>IF($A$164=1,AK199,IF($A$164=2,BQ199,IF($A$164=3,CQ199,IF($A$164=4,DQ199))))</f>
        <v>#DIV/0!</v>
      </c>
      <c r="K199" s="60" t="e">
        <f>IF($A$164=1,AM199,IF($A$164=2,BR199,IF($A$164=3,CR199,IF($A$164=4,DR199))))</f>
        <v>#DIV/0!</v>
      </c>
      <c r="L199" s="60" t="e">
        <f t="shared" si="129"/>
        <v>#DIV/0!</v>
      </c>
      <c r="M199" s="60" t="e">
        <f t="shared" si="130"/>
        <v>#DIV/0!</v>
      </c>
      <c r="N199" s="60" t="e">
        <f t="shared" si="131"/>
        <v>#DIV/0!</v>
      </c>
      <c r="AB199" s="60">
        <v>634</v>
      </c>
      <c r="AC199" s="60">
        <v>121</v>
      </c>
      <c r="AD199" s="60">
        <v>1399</v>
      </c>
      <c r="AE199" s="60">
        <v>254</v>
      </c>
      <c r="AF199" s="60">
        <v>2143</v>
      </c>
      <c r="AG199" s="60">
        <v>428</v>
      </c>
      <c r="AH199" s="60">
        <v>2988</v>
      </c>
      <c r="AI199" s="60">
        <v>610</v>
      </c>
      <c r="AK199" s="60">
        <v>4533</v>
      </c>
      <c r="AM199" s="60">
        <v>829</v>
      </c>
      <c r="AO199" s="60" t="s">
        <v>3976</v>
      </c>
      <c r="AQ199" s="60">
        <v>0.78868588685082697</v>
      </c>
      <c r="AS199" s="60">
        <v>0.21131411314917292</v>
      </c>
      <c r="BI199" s="60">
        <v>764</v>
      </c>
      <c r="BJ199" s="60">
        <v>170</v>
      </c>
      <c r="BK199" s="60">
        <v>1866</v>
      </c>
      <c r="BL199" s="60">
        <v>359</v>
      </c>
      <c r="BM199" s="60">
        <v>3212</v>
      </c>
      <c r="BN199" s="60">
        <v>605</v>
      </c>
      <c r="BO199" s="60">
        <v>4479</v>
      </c>
      <c r="BP199" s="60">
        <v>863</v>
      </c>
      <c r="BQ199" s="60">
        <v>5832</v>
      </c>
      <c r="BR199" s="60">
        <v>1171</v>
      </c>
      <c r="BS199" s="60" t="s">
        <v>3976</v>
      </c>
      <c r="BT199" s="60">
        <v>0.77869430613608925</v>
      </c>
      <c r="BU199" s="60">
        <v>0.22130569386391064</v>
      </c>
      <c r="CI199" s="60">
        <v>954</v>
      </c>
      <c r="CJ199" s="60">
        <v>205</v>
      </c>
      <c r="CK199" s="60">
        <v>2217</v>
      </c>
      <c r="CL199" s="60">
        <v>434</v>
      </c>
      <c r="CM199" s="60">
        <v>3749.5</v>
      </c>
      <c r="CN199" s="60">
        <v>730</v>
      </c>
      <c r="CO199" s="60">
        <v>5474</v>
      </c>
      <c r="CP199" s="60">
        <v>1042</v>
      </c>
      <c r="CQ199" s="60">
        <v>7127.5</v>
      </c>
      <c r="CR199" s="60">
        <v>1413.5</v>
      </c>
      <c r="CS199" s="60" t="s">
        <v>3976</v>
      </c>
      <c r="CT199" s="60">
        <v>0.77980609335621698</v>
      </c>
      <c r="CU199" s="60">
        <v>0.22019390664378294</v>
      </c>
      <c r="DI199" s="60">
        <v>1144</v>
      </c>
      <c r="DJ199" s="60">
        <v>240</v>
      </c>
      <c r="DK199" s="60">
        <v>2568</v>
      </c>
      <c r="DL199" s="60">
        <v>509</v>
      </c>
      <c r="DM199" s="60">
        <v>4287</v>
      </c>
      <c r="DN199" s="60">
        <v>855</v>
      </c>
      <c r="DO199" s="60">
        <v>6469</v>
      </c>
      <c r="DP199" s="60">
        <v>1221</v>
      </c>
      <c r="DQ199" s="60">
        <v>8423</v>
      </c>
      <c r="DR199" s="60">
        <v>1656</v>
      </c>
      <c r="DS199" s="60" t="s">
        <v>3976</v>
      </c>
      <c r="DT199" s="60">
        <v>0.78091788057634481</v>
      </c>
      <c r="DU199" s="60">
        <v>0.21908211942365524</v>
      </c>
    </row>
    <row r="200" spans="2:131" x14ac:dyDescent="0.2">
      <c r="L200" s="60" t="e">
        <f t="shared" si="129"/>
        <v>#DIV/0!</v>
      </c>
      <c r="M200" s="60" t="e">
        <f t="shared" si="130"/>
        <v>#DIV/0!</v>
      </c>
      <c r="N200" s="60" t="e">
        <f t="shared" si="131"/>
        <v>#DIV/0!</v>
      </c>
      <c r="AB200" s="60" t="s">
        <v>215</v>
      </c>
      <c r="AO200" s="60" t="s">
        <v>3977</v>
      </c>
      <c r="AQ200" s="60">
        <v>0.77405726499451255</v>
      </c>
      <c r="AS200" s="60">
        <v>0.22594273500548739</v>
      </c>
      <c r="BI200" s="60" t="s">
        <v>215</v>
      </c>
      <c r="BS200" s="60" t="s">
        <v>3977</v>
      </c>
      <c r="BT200" s="60">
        <v>0.76750499259579841</v>
      </c>
      <c r="BU200" s="60">
        <v>0.23249500740420168</v>
      </c>
      <c r="CI200" s="60" t="s">
        <v>215</v>
      </c>
      <c r="CS200" s="60" t="s">
        <v>3977</v>
      </c>
      <c r="CT200" s="60">
        <v>0.76706116268825764</v>
      </c>
      <c r="CU200" s="60">
        <v>0.23293883731174242</v>
      </c>
      <c r="DI200" s="60" t="s">
        <v>215</v>
      </c>
      <c r="DS200" s="60" t="s">
        <v>3977</v>
      </c>
      <c r="DT200" s="60">
        <v>0.76661733278071686</v>
      </c>
      <c r="DU200" s="60">
        <v>0.23338266721928319</v>
      </c>
    </row>
    <row r="207" spans="2:131" x14ac:dyDescent="0.2">
      <c r="AB207" s="60" t="s">
        <v>953</v>
      </c>
      <c r="AC207" s="60" t="s">
        <v>234</v>
      </c>
      <c r="BA207" s="60" t="s">
        <v>956</v>
      </c>
      <c r="BI207" s="60" t="s">
        <v>953</v>
      </c>
      <c r="BJ207" s="60" t="s">
        <v>234</v>
      </c>
      <c r="CA207" s="60" t="s">
        <v>956</v>
      </c>
      <c r="CI207" s="60" t="s">
        <v>953</v>
      </c>
      <c r="CJ207" s="60" t="s">
        <v>234</v>
      </c>
      <c r="DA207" s="60" t="s">
        <v>956</v>
      </c>
      <c r="DI207" s="60" t="s">
        <v>953</v>
      </c>
      <c r="DJ207" s="60" t="s">
        <v>234</v>
      </c>
      <c r="EA207" s="60" t="s">
        <v>956</v>
      </c>
    </row>
    <row r="209" spans="1:132" x14ac:dyDescent="0.2">
      <c r="AB209" s="60" t="s">
        <v>4155</v>
      </c>
      <c r="AC209" s="60" t="s">
        <v>235</v>
      </c>
      <c r="AG209" s="60" t="s">
        <v>4157</v>
      </c>
      <c r="AU209" s="60" t="s">
        <v>910</v>
      </c>
      <c r="BA209" s="60" t="s">
        <v>236</v>
      </c>
      <c r="BI209" s="60" t="s">
        <v>216</v>
      </c>
      <c r="BJ209" s="60" t="s">
        <v>1699</v>
      </c>
      <c r="BN209" s="60" t="s">
        <v>4157</v>
      </c>
      <c r="BV209" s="60" t="s">
        <v>910</v>
      </c>
      <c r="CA209" s="60" t="s">
        <v>3087</v>
      </c>
      <c r="CI209" s="60" t="s">
        <v>221</v>
      </c>
      <c r="CJ209" s="60" t="s">
        <v>1699</v>
      </c>
      <c r="CN209" s="60" t="s">
        <v>4157</v>
      </c>
      <c r="CV209" s="60" t="s">
        <v>910</v>
      </c>
      <c r="DA209" s="60" t="s">
        <v>1703</v>
      </c>
      <c r="DI209" s="60" t="s">
        <v>228</v>
      </c>
      <c r="DJ209" s="60" t="s">
        <v>235</v>
      </c>
      <c r="DN209" s="60" t="s">
        <v>4157</v>
      </c>
      <c r="DV209" s="60" t="s">
        <v>910</v>
      </c>
      <c r="EA209" s="60" t="s">
        <v>1704</v>
      </c>
    </row>
    <row r="210" spans="1:132" x14ac:dyDescent="0.2">
      <c r="AC210" s="60" t="s">
        <v>3988</v>
      </c>
      <c r="AU210" s="60" t="s">
        <v>3989</v>
      </c>
      <c r="BJ210" s="60" t="s">
        <v>3988</v>
      </c>
      <c r="BV210" s="60" t="s">
        <v>3989</v>
      </c>
      <c r="CJ210" s="60" t="s">
        <v>3988</v>
      </c>
      <c r="CV210" s="60" t="s">
        <v>3989</v>
      </c>
      <c r="DJ210" s="60" t="s">
        <v>3988</v>
      </c>
      <c r="DV210" s="60" t="s">
        <v>3989</v>
      </c>
    </row>
    <row r="213" spans="1:132" x14ac:dyDescent="0.2">
      <c r="AB213" s="60" t="s">
        <v>3990</v>
      </c>
      <c r="AI213" s="60" t="s">
        <v>3960</v>
      </c>
      <c r="AW213" s="60" t="s">
        <v>3961</v>
      </c>
      <c r="BI213" s="60" t="s">
        <v>3990</v>
      </c>
      <c r="BP213" s="60" t="s">
        <v>3960</v>
      </c>
      <c r="BW213" s="60" t="s">
        <v>3961</v>
      </c>
      <c r="CI213" s="60" t="s">
        <v>3990</v>
      </c>
      <c r="CP213" s="60" t="s">
        <v>3960</v>
      </c>
      <c r="CW213" s="60" t="s">
        <v>3961</v>
      </c>
      <c r="DI213" s="60" t="s">
        <v>3990</v>
      </c>
      <c r="DP213" s="60" t="s">
        <v>3960</v>
      </c>
      <c r="DW213" s="60" t="s">
        <v>3961</v>
      </c>
    </row>
    <row r="214" spans="1:132" x14ac:dyDescent="0.2">
      <c r="A214" s="60" t="e">
        <f>S27</f>
        <v>#DIV/0!</v>
      </c>
      <c r="B214" s="60" t="e">
        <f>IF($A$214=1,BA209,IF($A$214=2,CA209,IF($A$214=3,DA209,IF($A$214=4,EA209))))</f>
        <v>#DIV/0!</v>
      </c>
      <c r="C214" s="60" t="s">
        <v>3895</v>
      </c>
      <c r="AB214" s="60" t="s">
        <v>3962</v>
      </c>
      <c r="AI214" s="60" t="s">
        <v>3962</v>
      </c>
      <c r="AW214" s="60" t="s">
        <v>3962</v>
      </c>
      <c r="BI214" s="60" t="s">
        <v>3962</v>
      </c>
      <c r="BP214" s="60" t="s">
        <v>3962</v>
      </c>
      <c r="BW214" s="60" t="s">
        <v>3962</v>
      </c>
      <c r="CI214" s="60" t="s">
        <v>3962</v>
      </c>
      <c r="CP214" s="60" t="s">
        <v>3962</v>
      </c>
      <c r="CW214" s="60" t="s">
        <v>3962</v>
      </c>
      <c r="DI214" s="60" t="s">
        <v>3962</v>
      </c>
      <c r="DP214" s="60" t="s">
        <v>3962</v>
      </c>
      <c r="DW214" s="60" t="s">
        <v>3962</v>
      </c>
    </row>
    <row r="215" spans="1:132" x14ac:dyDescent="0.2">
      <c r="B215" s="60" t="e">
        <f t="shared" ref="B215:B226" si="133">IF($A$214=1,AB215,IF($A$214=2,BI215,IF($A$214=3,CI215,IF($A$214=4,DI215))))</f>
        <v>#DIV/0!</v>
      </c>
      <c r="C215" s="60" t="e">
        <f t="shared" ref="C215:C226" si="134">IF($A$214=1,AC215,IF($A$214=2,BJ215,IF($A$214=3,CJ215,IF($A$214=4,DJ215))))</f>
        <v>#DIV/0!</v>
      </c>
      <c r="I215" s="60" t="e">
        <f t="shared" ref="I215:I227" si="135">IF($A$214=1,AI215,IF($A$214=2,BP215,IF($A$214=3,CP215,IF($A$214=4,DP215))))</f>
        <v>#DIV/0!</v>
      </c>
      <c r="J215" s="60" t="e">
        <f t="shared" ref="J215:J227" si="136">IF($A$214=1,AK215,IF($A$214=2,BQ215,IF($A$214=3,CQ215,IF($A$214=4,DQ215))))</f>
        <v>#DIV/0!</v>
      </c>
      <c r="P215" s="60" t="e">
        <f t="shared" ref="P215:P223" si="137">IF($A$214=1,AW215,IF($A$214=2,BW215,IF($A$214=3,CW215,IF($A$214=4,DW215))))</f>
        <v>#DIV/0!</v>
      </c>
      <c r="Q215" s="60" t="e">
        <f t="shared" ref="Q215:Q223" si="138">IF($A$214=1,AX215,IF($A$214=2,BX215,IF($A$214=3,CX215,IF($A$214=4,DX215))))</f>
        <v>#DIV/0!</v>
      </c>
      <c r="AB215" s="60" t="s">
        <v>3068</v>
      </c>
      <c r="AC215" s="60" t="s">
        <v>3963</v>
      </c>
      <c r="AI215" s="60" t="s">
        <v>3068</v>
      </c>
      <c r="AK215" s="60" t="s">
        <v>3963</v>
      </c>
      <c r="AW215" s="60" t="s">
        <v>3068</v>
      </c>
      <c r="AX215" s="60" t="s">
        <v>3963</v>
      </c>
      <c r="BI215" s="60" t="s">
        <v>3068</v>
      </c>
      <c r="BJ215" s="60" t="s">
        <v>3963</v>
      </c>
      <c r="BP215" s="60" t="s">
        <v>3068</v>
      </c>
      <c r="BQ215" s="60" t="s">
        <v>3963</v>
      </c>
      <c r="BW215" s="60" t="s">
        <v>3068</v>
      </c>
      <c r="BX215" s="60" t="s">
        <v>3963</v>
      </c>
      <c r="CI215" s="60" t="s">
        <v>3068</v>
      </c>
      <c r="CJ215" s="60" t="s">
        <v>3963</v>
      </c>
      <c r="CP215" s="60" t="s">
        <v>3068</v>
      </c>
      <c r="CQ215" s="60" t="s">
        <v>3963</v>
      </c>
      <c r="CW215" s="60" t="s">
        <v>3068</v>
      </c>
      <c r="CX215" s="60" t="s">
        <v>3963</v>
      </c>
      <c r="DI215" s="60" t="s">
        <v>3068</v>
      </c>
      <c r="DJ215" s="60" t="s">
        <v>3963</v>
      </c>
      <c r="DP215" s="60" t="s">
        <v>3068</v>
      </c>
      <c r="DQ215" s="60" t="s">
        <v>3963</v>
      </c>
      <c r="DW215" s="60" t="s">
        <v>3068</v>
      </c>
      <c r="DX215" s="60" t="s">
        <v>3963</v>
      </c>
    </row>
    <row r="216" spans="1:132" x14ac:dyDescent="0.2">
      <c r="B216" s="60" t="e">
        <f t="shared" si="133"/>
        <v>#DIV/0!</v>
      </c>
      <c r="C216" s="60" t="e">
        <f t="shared" si="134"/>
        <v>#DIV/0!</v>
      </c>
      <c r="D216" s="60" t="e">
        <f t="shared" ref="D216:D226" si="139">IF($A$214=1,AD216,IF($A$214=2,BK216,IF($A$214=3,CK216,IF($A$214=4,DK216))))</f>
        <v>#DIV/0!</v>
      </c>
      <c r="E216" s="60" t="e">
        <f t="shared" ref="E216:E226" si="140">IF($A$214=1,AE216,IF($A$214=2,BL216,IF($A$214=3,CL216,IF($A$214=4,DL216))))</f>
        <v>#DIV/0!</v>
      </c>
      <c r="F216" s="60" t="e">
        <f t="shared" ref="F216:F226" si="141">IF($A$214=1,AF216,IF($A$214=2,BM216,IF($A$214=3,CM216,IF($A$214=4,DM216))))</f>
        <v>#DIV/0!</v>
      </c>
      <c r="G216" s="60" t="e">
        <f t="shared" ref="G216:G226" si="142">IF($A$214=1,AG216,IF($A$214=2,BN216,IF($A$214=3,CN216,IF($A$214=4,DN216))))</f>
        <v>#DIV/0!</v>
      </c>
      <c r="I216" s="60" t="e">
        <f t="shared" si="135"/>
        <v>#DIV/0!</v>
      </c>
      <c r="J216" s="60" t="e">
        <f t="shared" si="136"/>
        <v>#DIV/0!</v>
      </c>
      <c r="K216" s="60" t="e">
        <f t="shared" ref="K216:K227" si="143">IF($A$214=1,AM216,IF($A$214=2,BR216,IF($A$214=3,CR216,IF($A$214=4,DR216))))</f>
        <v>#DIV/0!</v>
      </c>
      <c r="L216" s="60" t="e">
        <f t="shared" ref="L216:L227" si="144">IF($A$214=1,AO216,IF($A$214=2,BS216,IF($A$214=3,CS216,IF($A$214=4,DS216))))</f>
        <v>#DIV/0!</v>
      </c>
      <c r="M216" s="60" t="e">
        <f t="shared" ref="M216:M227" si="145">IF($A$214=1,AQ216,IF($A$214=2,BT216,IF($A$214=3,CT216,IF($A$214=4,DT216))))</f>
        <v>#DIV/0!</v>
      </c>
      <c r="N216" s="60" t="e">
        <f t="shared" ref="N216:N227" si="146">IF($A$214=1,AS216,IF($A$214=2,BU216,IF($A$214=3,CU216,IF($A$214=4,DU216))))</f>
        <v>#DIV/0!</v>
      </c>
      <c r="P216" s="60" t="e">
        <f t="shared" si="137"/>
        <v>#DIV/0!</v>
      </c>
      <c r="Q216" s="60" t="e">
        <f t="shared" si="138"/>
        <v>#DIV/0!</v>
      </c>
      <c r="R216" s="60" t="e">
        <f t="shared" ref="R216:U223" si="147">IF($A$214=1,AY216,IF($A$214=2,BY216,IF($A$214=3,CY216,IF($A$214=4,DY216))))</f>
        <v>#DIV/0!</v>
      </c>
      <c r="S216" s="60" t="e">
        <f t="shared" si="147"/>
        <v>#DIV/0!</v>
      </c>
      <c r="T216" s="60" t="e">
        <f t="shared" si="147"/>
        <v>#DIV/0!</v>
      </c>
      <c r="U216" s="60" t="e">
        <f t="shared" si="147"/>
        <v>#DIV/0!</v>
      </c>
      <c r="AB216" s="60" t="s">
        <v>2760</v>
      </c>
      <c r="AC216" s="60">
        <v>3000</v>
      </c>
      <c r="AD216" s="60">
        <v>6000</v>
      </c>
      <c r="AE216" s="60">
        <v>9000</v>
      </c>
      <c r="AF216" s="60">
        <v>12000</v>
      </c>
      <c r="AG216" s="60">
        <v>15000</v>
      </c>
      <c r="AI216" s="60" t="s">
        <v>2760</v>
      </c>
      <c r="AK216" s="60">
        <v>3000</v>
      </c>
      <c r="AM216" s="60">
        <v>6000</v>
      </c>
      <c r="AO216" s="60">
        <v>9000</v>
      </c>
      <c r="AQ216" s="60">
        <v>12000</v>
      </c>
      <c r="AS216" s="60">
        <v>15000</v>
      </c>
      <c r="AW216" s="60" t="s">
        <v>3964</v>
      </c>
      <c r="AX216" s="60">
        <v>3000</v>
      </c>
      <c r="AY216" s="60">
        <v>6000</v>
      </c>
      <c r="AZ216" s="60">
        <v>9000</v>
      </c>
      <c r="BA216" s="60">
        <v>12000</v>
      </c>
      <c r="BB216" s="60">
        <v>15000</v>
      </c>
      <c r="BI216" s="60" t="s">
        <v>2760</v>
      </c>
      <c r="BJ216" s="60">
        <v>3000</v>
      </c>
      <c r="BK216" s="60">
        <v>6000</v>
      </c>
      <c r="BL216" s="60">
        <v>9000</v>
      </c>
      <c r="BM216" s="60">
        <v>12000</v>
      </c>
      <c r="BN216" s="60">
        <v>15000</v>
      </c>
      <c r="BP216" s="60" t="s">
        <v>2760</v>
      </c>
      <c r="BQ216" s="60">
        <v>3000</v>
      </c>
      <c r="BR216" s="60">
        <v>6000</v>
      </c>
      <c r="BS216" s="60">
        <v>9000</v>
      </c>
      <c r="BT216" s="60">
        <v>12000</v>
      </c>
      <c r="BU216" s="60">
        <v>15000</v>
      </c>
      <c r="BW216" s="60" t="s">
        <v>3964</v>
      </c>
      <c r="BX216" s="60">
        <v>3000</v>
      </c>
      <c r="BY216" s="60">
        <v>6000</v>
      </c>
      <c r="BZ216" s="60">
        <v>9000</v>
      </c>
      <c r="CA216" s="60">
        <v>12000</v>
      </c>
      <c r="CB216" s="60">
        <v>15000</v>
      </c>
      <c r="CI216" s="60" t="s">
        <v>2760</v>
      </c>
      <c r="CJ216" s="60">
        <v>3000</v>
      </c>
      <c r="CK216" s="60">
        <v>6000</v>
      </c>
      <c r="CL216" s="60">
        <v>9000</v>
      </c>
      <c r="CM216" s="60">
        <v>12000</v>
      </c>
      <c r="CN216" s="60">
        <v>15000</v>
      </c>
      <c r="CP216" s="60" t="s">
        <v>2760</v>
      </c>
      <c r="CQ216" s="60">
        <v>3000</v>
      </c>
      <c r="CR216" s="60">
        <v>6000</v>
      </c>
      <c r="CS216" s="60">
        <v>9000</v>
      </c>
      <c r="CT216" s="60">
        <v>12000</v>
      </c>
      <c r="CU216" s="60">
        <v>15000</v>
      </c>
      <c r="CW216" s="60" t="s">
        <v>3964</v>
      </c>
      <c r="CX216" s="60">
        <v>3000</v>
      </c>
      <c r="CY216" s="60">
        <v>6000</v>
      </c>
      <c r="CZ216" s="60">
        <v>9000</v>
      </c>
      <c r="DA216" s="60">
        <v>12000</v>
      </c>
      <c r="DB216" s="60">
        <v>15000</v>
      </c>
      <c r="DI216" s="60" t="s">
        <v>2760</v>
      </c>
      <c r="DJ216" s="60">
        <v>3000</v>
      </c>
      <c r="DK216" s="60">
        <v>6000</v>
      </c>
      <c r="DL216" s="60">
        <v>9000</v>
      </c>
      <c r="DM216" s="60">
        <v>12000</v>
      </c>
      <c r="DN216" s="60">
        <v>15000</v>
      </c>
      <c r="DP216" s="60" t="s">
        <v>2760</v>
      </c>
      <c r="DQ216" s="60">
        <v>3000</v>
      </c>
      <c r="DR216" s="60">
        <v>6000</v>
      </c>
      <c r="DS216" s="60">
        <v>9000</v>
      </c>
      <c r="DT216" s="60">
        <v>12000</v>
      </c>
      <c r="DU216" s="60">
        <v>15000</v>
      </c>
      <c r="DW216" s="60" t="s">
        <v>3964</v>
      </c>
      <c r="DX216" s="60">
        <v>3000</v>
      </c>
      <c r="DY216" s="60">
        <v>6000</v>
      </c>
      <c r="DZ216" s="60">
        <v>9000</v>
      </c>
      <c r="EA216" s="60">
        <v>12000</v>
      </c>
      <c r="EB216" s="60">
        <v>15000</v>
      </c>
    </row>
    <row r="217" spans="1:132" x14ac:dyDescent="0.2">
      <c r="B217" s="60" t="e">
        <f t="shared" si="133"/>
        <v>#DIV/0!</v>
      </c>
      <c r="C217" s="60" t="e">
        <f t="shared" si="134"/>
        <v>#DIV/0!</v>
      </c>
      <c r="D217" s="60" t="e">
        <f t="shared" si="139"/>
        <v>#DIV/0!</v>
      </c>
      <c r="E217" s="60" t="e">
        <f t="shared" si="140"/>
        <v>#DIV/0!</v>
      </c>
      <c r="F217" s="60" t="e">
        <f t="shared" si="141"/>
        <v>#DIV/0!</v>
      </c>
      <c r="G217" s="60" t="e">
        <f t="shared" si="142"/>
        <v>#DIV/0!</v>
      </c>
      <c r="I217" s="60" t="e">
        <f t="shared" si="135"/>
        <v>#DIV/0!</v>
      </c>
      <c r="J217" s="60" t="e">
        <f t="shared" si="136"/>
        <v>#DIV/0!</v>
      </c>
      <c r="K217" s="60" t="e">
        <f t="shared" si="143"/>
        <v>#DIV/0!</v>
      </c>
      <c r="L217" s="60" t="e">
        <f t="shared" si="144"/>
        <v>#DIV/0!</v>
      </c>
      <c r="M217" s="60" t="e">
        <f t="shared" si="145"/>
        <v>#DIV/0!</v>
      </c>
      <c r="N217" s="60" t="e">
        <f t="shared" si="146"/>
        <v>#DIV/0!</v>
      </c>
      <c r="P217" s="60" t="e">
        <f t="shared" si="137"/>
        <v>#DIV/0!</v>
      </c>
      <c r="Q217" s="60" t="e">
        <f t="shared" si="138"/>
        <v>#DIV/0!</v>
      </c>
      <c r="R217" s="60" t="e">
        <f t="shared" si="147"/>
        <v>#DIV/0!</v>
      </c>
      <c r="S217" s="60" t="e">
        <f t="shared" si="147"/>
        <v>#DIV/0!</v>
      </c>
      <c r="T217" s="60" t="e">
        <f t="shared" si="147"/>
        <v>#DIV/0!</v>
      </c>
      <c r="U217" s="60" t="e">
        <f t="shared" si="147"/>
        <v>#DIV/0!</v>
      </c>
      <c r="AB217" s="60">
        <v>-20</v>
      </c>
      <c r="AC217" s="60">
        <v>0.26800000000000002</v>
      </c>
      <c r="AD217" s="60">
        <v>0.28037499999999999</v>
      </c>
      <c r="AE217" s="60">
        <v>0.29275000000000001</v>
      </c>
      <c r="AF217" s="60">
        <v>0.30512499999999998</v>
      </c>
      <c r="AG217" s="60">
        <v>0.3175</v>
      </c>
      <c r="AI217" s="60">
        <v>60</v>
      </c>
      <c r="AK217" s="60">
        <v>1.000000000000056E-3</v>
      </c>
      <c r="AM217" s="60">
        <v>1.5000000000000558E-3</v>
      </c>
      <c r="AO217" s="60">
        <v>2.0000000000000556E-3</v>
      </c>
      <c r="AQ217" s="60">
        <v>2.5000000000000556E-3</v>
      </c>
      <c r="AS217" s="60">
        <v>3.0000000000000551E-3</v>
      </c>
      <c r="AW217" s="60">
        <v>10</v>
      </c>
      <c r="AX217" s="60">
        <v>575</v>
      </c>
      <c r="AY217" s="60">
        <v>1387</v>
      </c>
      <c r="AZ217" s="60">
        <v>2199</v>
      </c>
      <c r="BA217" s="60">
        <v>3011</v>
      </c>
      <c r="BB217" s="60">
        <v>3823</v>
      </c>
      <c r="BI217" s="60">
        <v>-20</v>
      </c>
      <c r="BJ217" s="60">
        <v>0.19950000000000001</v>
      </c>
      <c r="BK217" s="60">
        <v>0.21337500000000001</v>
      </c>
      <c r="BL217" s="60">
        <v>0.22725000000000001</v>
      </c>
      <c r="BM217" s="60">
        <v>0.24112500000000001</v>
      </c>
      <c r="BN217" s="60">
        <v>0.255</v>
      </c>
      <c r="BP217" s="60">
        <v>60</v>
      </c>
      <c r="BQ217" s="60">
        <v>-8.9999999999999525E-3</v>
      </c>
      <c r="BR217" s="60">
        <v>-8.2499999999999518E-3</v>
      </c>
      <c r="BS217" s="60">
        <v>-7.499999999999952E-3</v>
      </c>
      <c r="BT217" s="60">
        <v>-6.7499999999999514E-3</v>
      </c>
      <c r="BU217" s="60">
        <v>-5.9999999999999516E-3</v>
      </c>
      <c r="BW217" s="60">
        <v>10</v>
      </c>
      <c r="BX217" s="60">
        <v>811</v>
      </c>
      <c r="BY217" s="60">
        <v>1770.25</v>
      </c>
      <c r="BZ217" s="60">
        <v>2729.5</v>
      </c>
      <c r="CA217" s="60">
        <v>3688.75</v>
      </c>
      <c r="CB217" s="60">
        <v>4648</v>
      </c>
      <c r="CI217" s="60">
        <v>-20</v>
      </c>
      <c r="CJ217" s="60">
        <v>0.17799999999999999</v>
      </c>
      <c r="CK217" s="60">
        <v>0.18887500000000002</v>
      </c>
      <c r="CL217" s="60">
        <v>0.19975000000000001</v>
      </c>
      <c r="CM217" s="60">
        <v>0.21062500000000001</v>
      </c>
      <c r="CN217" s="60">
        <v>0.2215</v>
      </c>
      <c r="CP217" s="60">
        <v>60</v>
      </c>
      <c r="CQ217" s="60">
        <v>-6.499999999999978E-3</v>
      </c>
      <c r="CR217" s="60">
        <v>-5.6249999999999772E-3</v>
      </c>
      <c r="CS217" s="60">
        <v>-4.7499999999999765E-3</v>
      </c>
      <c r="CT217" s="60">
        <v>-3.8749999999999757E-3</v>
      </c>
      <c r="CU217" s="60">
        <v>-2.9999999999999758E-3</v>
      </c>
      <c r="CW217" s="60">
        <v>10</v>
      </c>
      <c r="CX217" s="60">
        <v>1005.5</v>
      </c>
      <c r="CY217" s="60">
        <v>2201.625</v>
      </c>
      <c r="CZ217" s="60">
        <v>3397.75</v>
      </c>
      <c r="DA217" s="60">
        <v>4593.875</v>
      </c>
      <c r="DB217" s="60">
        <v>5790</v>
      </c>
      <c r="DI217" s="60">
        <v>-20</v>
      </c>
      <c r="DJ217" s="60">
        <v>0.1565</v>
      </c>
      <c r="DK217" s="60">
        <v>0.16437499999999999</v>
      </c>
      <c r="DL217" s="60">
        <v>0.17225000000000001</v>
      </c>
      <c r="DM217" s="60">
        <v>0.18012500000000001</v>
      </c>
      <c r="DN217" s="60">
        <v>0.188</v>
      </c>
      <c r="DP217" s="60">
        <v>60</v>
      </c>
      <c r="DQ217" s="60">
        <v>-4.0000000000000036E-3</v>
      </c>
      <c r="DR217" s="60">
        <v>-3.0000000000000022E-3</v>
      </c>
      <c r="DS217" s="60">
        <v>-2.0000000000000013E-3</v>
      </c>
      <c r="DT217" s="60">
        <v>-1E-3</v>
      </c>
      <c r="DU217" s="60">
        <v>0</v>
      </c>
      <c r="DW217" s="60">
        <v>10</v>
      </c>
      <c r="DX217" s="60">
        <v>1200</v>
      </c>
      <c r="DY217" s="60">
        <v>2633</v>
      </c>
      <c r="DZ217" s="60">
        <v>4066</v>
      </c>
      <c r="EA217" s="60">
        <v>5499</v>
      </c>
      <c r="EB217" s="60">
        <v>6932</v>
      </c>
    </row>
    <row r="218" spans="1:132" x14ac:dyDescent="0.2">
      <c r="B218" s="60" t="e">
        <f t="shared" si="133"/>
        <v>#DIV/0!</v>
      </c>
      <c r="C218" s="60" t="e">
        <f t="shared" si="134"/>
        <v>#DIV/0!</v>
      </c>
      <c r="D218" s="60" t="e">
        <f t="shared" si="139"/>
        <v>#DIV/0!</v>
      </c>
      <c r="E218" s="60" t="e">
        <f t="shared" si="140"/>
        <v>#DIV/0!</v>
      </c>
      <c r="F218" s="60" t="e">
        <f t="shared" si="141"/>
        <v>#DIV/0!</v>
      </c>
      <c r="G218" s="60" t="e">
        <f t="shared" si="142"/>
        <v>#DIV/0!</v>
      </c>
      <c r="I218" s="60" t="e">
        <f t="shared" si="135"/>
        <v>#DIV/0!</v>
      </c>
      <c r="J218" s="60" t="e">
        <f t="shared" si="136"/>
        <v>#DIV/0!</v>
      </c>
      <c r="K218" s="60" t="e">
        <f t="shared" si="143"/>
        <v>#DIV/0!</v>
      </c>
      <c r="L218" s="60" t="e">
        <f t="shared" si="144"/>
        <v>#DIV/0!</v>
      </c>
      <c r="M218" s="60" t="e">
        <f t="shared" si="145"/>
        <v>#DIV/0!</v>
      </c>
      <c r="N218" s="60" t="e">
        <f t="shared" si="146"/>
        <v>#DIV/0!</v>
      </c>
      <c r="P218" s="60" t="e">
        <f t="shared" si="137"/>
        <v>#DIV/0!</v>
      </c>
      <c r="Q218" s="60" t="e">
        <f t="shared" si="138"/>
        <v>#DIV/0!</v>
      </c>
      <c r="R218" s="60" t="e">
        <f t="shared" si="147"/>
        <v>#DIV/0!</v>
      </c>
      <c r="S218" s="60" t="e">
        <f t="shared" si="147"/>
        <v>#DIV/0!</v>
      </c>
      <c r="T218" s="60" t="e">
        <f t="shared" si="147"/>
        <v>#DIV/0!</v>
      </c>
      <c r="U218" s="60" t="e">
        <f t="shared" si="147"/>
        <v>#DIV/0!</v>
      </c>
      <c r="AB218" s="60">
        <v>-10</v>
      </c>
      <c r="AC218" s="60">
        <v>0.24</v>
      </c>
      <c r="AD218" s="60">
        <v>0.2513333333333333</v>
      </c>
      <c r="AE218" s="60">
        <v>0.26266666666666666</v>
      </c>
      <c r="AF218" s="60">
        <v>0.27400000000000002</v>
      </c>
      <c r="AG218" s="60">
        <v>0.28533333333333333</v>
      </c>
      <c r="AI218" s="60">
        <v>70</v>
      </c>
      <c r="AK218" s="60">
        <v>4.8800000000000038E-2</v>
      </c>
      <c r="AM218" s="60">
        <v>4.9550000000000038E-2</v>
      </c>
      <c r="AO218" s="60">
        <v>5.0300000000000039E-2</v>
      </c>
      <c r="AQ218" s="60">
        <v>5.105000000000004E-2</v>
      </c>
      <c r="AS218" s="60">
        <v>5.180000000000004E-2</v>
      </c>
      <c r="AW218" s="60">
        <v>20</v>
      </c>
      <c r="AX218" s="60">
        <v>930.16666666666674</v>
      </c>
      <c r="AY218" s="60">
        <v>2216.2916666666665</v>
      </c>
      <c r="AZ218" s="60">
        <v>3502.4166666666665</v>
      </c>
      <c r="BA218" s="60">
        <v>4788.541666666667</v>
      </c>
      <c r="BB218" s="60">
        <v>6074.666666666667</v>
      </c>
      <c r="BI218" s="60">
        <v>-10</v>
      </c>
      <c r="BJ218" s="60">
        <v>0.17799999999999999</v>
      </c>
      <c r="BK218" s="60">
        <v>0.191</v>
      </c>
      <c r="BL218" s="60">
        <v>0.20400000000000001</v>
      </c>
      <c r="BM218" s="60">
        <v>0.217</v>
      </c>
      <c r="BN218" s="60">
        <v>0.23</v>
      </c>
      <c r="BP218" s="60">
        <v>70</v>
      </c>
      <c r="BQ218" s="60">
        <v>2.3900000000000022E-2</v>
      </c>
      <c r="BR218" s="60">
        <v>2.6075000000000022E-2</v>
      </c>
      <c r="BS218" s="60">
        <v>2.8250000000000022E-2</v>
      </c>
      <c r="BT218" s="60">
        <v>3.0425000000000021E-2</v>
      </c>
      <c r="BU218" s="60">
        <v>3.2600000000000018E-2</v>
      </c>
      <c r="BW218" s="60">
        <v>20</v>
      </c>
      <c r="BX218" s="60">
        <v>1309.6666666666665</v>
      </c>
      <c r="BY218" s="60">
        <v>2855.958333333333</v>
      </c>
      <c r="BZ218" s="60">
        <v>4402.25</v>
      </c>
      <c r="CA218" s="60">
        <v>5948.5416666666661</v>
      </c>
      <c r="CB218" s="60">
        <v>7494.8333333333321</v>
      </c>
      <c r="CI218" s="60">
        <v>-10</v>
      </c>
      <c r="CJ218" s="60">
        <v>0.15933333333333333</v>
      </c>
      <c r="CK218" s="60">
        <v>0.16954166666666665</v>
      </c>
      <c r="CL218" s="60">
        <v>0.17975000000000002</v>
      </c>
      <c r="CM218" s="60">
        <v>0.18995833333333334</v>
      </c>
      <c r="CN218" s="60">
        <v>0.20016666666666666</v>
      </c>
      <c r="CP218" s="60">
        <v>70</v>
      </c>
      <c r="CQ218" s="60">
        <v>2.1700000000000007E-2</v>
      </c>
      <c r="CR218" s="60">
        <v>2.3812500000000007E-2</v>
      </c>
      <c r="CS218" s="60">
        <v>2.5925000000000011E-2</v>
      </c>
      <c r="CT218" s="60">
        <v>2.803750000000001E-2</v>
      </c>
      <c r="CU218" s="60">
        <v>3.015000000000001E-2</v>
      </c>
      <c r="CW218" s="60">
        <v>20</v>
      </c>
      <c r="CX218" s="60">
        <v>1613.5</v>
      </c>
      <c r="CY218" s="60">
        <v>3524.520833333333</v>
      </c>
      <c r="CZ218" s="60">
        <v>5435.541666666667</v>
      </c>
      <c r="DA218" s="60">
        <v>7346.5625</v>
      </c>
      <c r="DB218" s="60">
        <v>9257.5833333333321</v>
      </c>
      <c r="DI218" s="60">
        <v>-10</v>
      </c>
      <c r="DJ218" s="60">
        <v>0.14066666666666666</v>
      </c>
      <c r="DK218" s="60">
        <v>0.14808333333333332</v>
      </c>
      <c r="DL218" s="60">
        <v>0.1555</v>
      </c>
      <c r="DM218" s="60">
        <v>0.16291666666666665</v>
      </c>
      <c r="DN218" s="60">
        <v>0.17033333333333334</v>
      </c>
      <c r="DP218" s="60">
        <v>70</v>
      </c>
      <c r="DQ218" s="60">
        <v>1.9499999999999993E-2</v>
      </c>
      <c r="DR218" s="60">
        <v>2.1549999999999996E-2</v>
      </c>
      <c r="DS218" s="60">
        <v>2.3599999999999996E-2</v>
      </c>
      <c r="DT218" s="60">
        <v>2.5649999999999999E-2</v>
      </c>
      <c r="DU218" s="60">
        <v>2.7699999999999999E-2</v>
      </c>
      <c r="DW218" s="60">
        <v>20</v>
      </c>
      <c r="DX218" s="60">
        <v>1917.3333333333333</v>
      </c>
      <c r="DY218" s="60">
        <v>4193.083333333333</v>
      </c>
      <c r="DZ218" s="60">
        <v>6468.8333333333339</v>
      </c>
      <c r="EA218" s="60">
        <v>8744.5833333333339</v>
      </c>
      <c r="EB218" s="60">
        <v>11020.333333333334</v>
      </c>
    </row>
    <row r="219" spans="1:132" x14ac:dyDescent="0.2">
      <c r="B219" s="60" t="e">
        <f t="shared" si="133"/>
        <v>#DIV/0!</v>
      </c>
      <c r="C219" s="60" t="e">
        <f t="shared" si="134"/>
        <v>#DIV/0!</v>
      </c>
      <c r="D219" s="60" t="e">
        <f t="shared" si="139"/>
        <v>#DIV/0!</v>
      </c>
      <c r="E219" s="60" t="e">
        <f t="shared" si="140"/>
        <v>#DIV/0!</v>
      </c>
      <c r="F219" s="60" t="e">
        <f t="shared" si="141"/>
        <v>#DIV/0!</v>
      </c>
      <c r="G219" s="60" t="e">
        <f t="shared" si="142"/>
        <v>#DIV/0!</v>
      </c>
      <c r="I219" s="60" t="e">
        <f t="shared" si="135"/>
        <v>#DIV/0!</v>
      </c>
      <c r="J219" s="60" t="e">
        <f t="shared" si="136"/>
        <v>#DIV/0!</v>
      </c>
      <c r="K219" s="60" t="e">
        <f t="shared" si="143"/>
        <v>#DIV/0!</v>
      </c>
      <c r="L219" s="60" t="e">
        <f t="shared" si="144"/>
        <v>#DIV/0!</v>
      </c>
      <c r="M219" s="60" t="e">
        <f t="shared" si="145"/>
        <v>#DIV/0!</v>
      </c>
      <c r="N219" s="60" t="e">
        <f t="shared" si="146"/>
        <v>#DIV/0!</v>
      </c>
      <c r="P219" s="60" t="e">
        <f t="shared" si="137"/>
        <v>#DIV/0!</v>
      </c>
      <c r="Q219" s="60" t="e">
        <f t="shared" si="138"/>
        <v>#DIV/0!</v>
      </c>
      <c r="R219" s="60" t="e">
        <f t="shared" si="147"/>
        <v>#DIV/0!</v>
      </c>
      <c r="S219" s="60" t="e">
        <f t="shared" si="147"/>
        <v>#DIV/0!</v>
      </c>
      <c r="T219" s="60" t="e">
        <f t="shared" si="147"/>
        <v>#DIV/0!</v>
      </c>
      <c r="U219" s="60" t="e">
        <f t="shared" si="147"/>
        <v>#DIV/0!</v>
      </c>
      <c r="AB219" s="60">
        <v>0</v>
      </c>
      <c r="AC219" s="60">
        <v>0.21199999999999999</v>
      </c>
      <c r="AD219" s="60">
        <v>0.22229166666666667</v>
      </c>
      <c r="AE219" s="60">
        <v>0.23258333333333334</v>
      </c>
      <c r="AF219" s="60">
        <v>0.24287500000000001</v>
      </c>
      <c r="AG219" s="60">
        <v>0.25316666666666665</v>
      </c>
      <c r="AI219" s="60">
        <v>80</v>
      </c>
      <c r="AK219" s="60">
        <v>9.6600000000000019E-2</v>
      </c>
      <c r="AM219" s="60">
        <v>9.760000000000002E-2</v>
      </c>
      <c r="AO219" s="60">
        <v>9.8600000000000021E-2</v>
      </c>
      <c r="AQ219" s="60">
        <v>9.9600000000000022E-2</v>
      </c>
      <c r="AS219" s="60">
        <v>0.10060000000000002</v>
      </c>
      <c r="AW219" s="60">
        <v>30</v>
      </c>
      <c r="AX219" s="60">
        <v>1285.3333333333335</v>
      </c>
      <c r="AY219" s="60">
        <v>3045.5833333333335</v>
      </c>
      <c r="AZ219" s="60">
        <v>4805.833333333333</v>
      </c>
      <c r="BA219" s="60">
        <v>6566.083333333333</v>
      </c>
      <c r="BB219" s="60">
        <v>8326.3333333333339</v>
      </c>
      <c r="BI219" s="60">
        <v>0</v>
      </c>
      <c r="BJ219" s="60">
        <v>0.1565</v>
      </c>
      <c r="BK219" s="60">
        <v>0.168625</v>
      </c>
      <c r="BL219" s="60">
        <v>0.18074999999999999</v>
      </c>
      <c r="BM219" s="60">
        <v>0.19287499999999999</v>
      </c>
      <c r="BN219" s="60">
        <v>0.20499999999999999</v>
      </c>
      <c r="BP219" s="60">
        <v>80</v>
      </c>
      <c r="BQ219" s="60">
        <v>5.6800000000000024E-2</v>
      </c>
      <c r="BR219" s="60">
        <v>6.0400000000000023E-2</v>
      </c>
      <c r="BS219" s="60">
        <v>6.4000000000000029E-2</v>
      </c>
      <c r="BT219" s="60">
        <v>6.7600000000000021E-2</v>
      </c>
      <c r="BU219" s="60">
        <v>7.1200000000000027E-2</v>
      </c>
      <c r="BW219" s="60">
        <v>30</v>
      </c>
      <c r="BX219" s="60">
        <v>1808.333333333333</v>
      </c>
      <c r="BY219" s="60">
        <v>3941.6666666666661</v>
      </c>
      <c r="BZ219" s="60">
        <v>6075</v>
      </c>
      <c r="CA219" s="60">
        <v>8208.3333333333321</v>
      </c>
      <c r="CB219" s="60">
        <v>10341.666666666666</v>
      </c>
      <c r="CI219" s="60">
        <v>0</v>
      </c>
      <c r="CJ219" s="60">
        <v>0.14066666666666666</v>
      </c>
      <c r="CK219" s="60">
        <v>0.15020833333333333</v>
      </c>
      <c r="CL219" s="60">
        <v>0.15975</v>
      </c>
      <c r="CM219" s="60">
        <v>0.16929166666666667</v>
      </c>
      <c r="CN219" s="60">
        <v>0.17883333333333334</v>
      </c>
      <c r="CP219" s="60">
        <v>80</v>
      </c>
      <c r="CQ219" s="60">
        <v>4.9900000000000007E-2</v>
      </c>
      <c r="CR219" s="60">
        <v>5.3250000000000006E-2</v>
      </c>
      <c r="CS219" s="60">
        <v>5.6600000000000011E-2</v>
      </c>
      <c r="CT219" s="60">
        <v>5.995000000000001E-2</v>
      </c>
      <c r="CU219" s="60">
        <v>6.3300000000000009E-2</v>
      </c>
      <c r="CW219" s="60">
        <v>30</v>
      </c>
      <c r="CX219" s="60">
        <v>2221.5</v>
      </c>
      <c r="CY219" s="60">
        <v>4847.4166666666661</v>
      </c>
      <c r="CZ219" s="60">
        <v>7473.3333333333321</v>
      </c>
      <c r="DA219" s="60">
        <v>10099.25</v>
      </c>
      <c r="DB219" s="60">
        <v>12725.166666666664</v>
      </c>
      <c r="DI219" s="60">
        <v>0</v>
      </c>
      <c r="DJ219" s="60">
        <v>0.12483333333333332</v>
      </c>
      <c r="DK219" s="60">
        <v>0.13179166666666667</v>
      </c>
      <c r="DL219" s="60">
        <v>0.13875000000000001</v>
      </c>
      <c r="DM219" s="60">
        <v>0.14570833333333333</v>
      </c>
      <c r="DN219" s="60">
        <v>0.15266666666666667</v>
      </c>
      <c r="DP219" s="60">
        <v>80</v>
      </c>
      <c r="DQ219" s="60">
        <v>4.299999999999999E-2</v>
      </c>
      <c r="DR219" s="60">
        <v>4.6099999999999995E-2</v>
      </c>
      <c r="DS219" s="60">
        <v>4.9199999999999994E-2</v>
      </c>
      <c r="DT219" s="60">
        <v>5.2299999999999999E-2</v>
      </c>
      <c r="DU219" s="60">
        <v>5.5399999999999998E-2</v>
      </c>
      <c r="DW219" s="60">
        <v>30</v>
      </c>
      <c r="DX219" s="60">
        <v>2634.6666666666661</v>
      </c>
      <c r="DY219" s="60">
        <v>5753.1666666666661</v>
      </c>
      <c r="DZ219" s="60">
        <v>8871.6666666666642</v>
      </c>
      <c r="EA219" s="60">
        <v>11990.166666666664</v>
      </c>
      <c r="EB219" s="60">
        <v>15108.666666666664</v>
      </c>
    </row>
    <row r="220" spans="1:132" x14ac:dyDescent="0.2">
      <c r="B220" s="60" t="e">
        <f t="shared" si="133"/>
        <v>#DIV/0!</v>
      </c>
      <c r="C220" s="60" t="e">
        <f t="shared" si="134"/>
        <v>#DIV/0!</v>
      </c>
      <c r="D220" s="60" t="e">
        <f t="shared" si="139"/>
        <v>#DIV/0!</v>
      </c>
      <c r="E220" s="60" t="e">
        <f t="shared" si="140"/>
        <v>#DIV/0!</v>
      </c>
      <c r="F220" s="60" t="e">
        <f t="shared" si="141"/>
        <v>#DIV/0!</v>
      </c>
      <c r="G220" s="60" t="e">
        <f t="shared" si="142"/>
        <v>#DIV/0!</v>
      </c>
      <c r="I220" s="60" t="e">
        <f t="shared" si="135"/>
        <v>#DIV/0!</v>
      </c>
      <c r="J220" s="60" t="e">
        <f t="shared" si="136"/>
        <v>#DIV/0!</v>
      </c>
      <c r="K220" s="60" t="e">
        <f t="shared" si="143"/>
        <v>#DIV/0!</v>
      </c>
      <c r="L220" s="60" t="e">
        <f t="shared" si="144"/>
        <v>#DIV/0!</v>
      </c>
      <c r="M220" s="60" t="e">
        <f t="shared" si="145"/>
        <v>#DIV/0!</v>
      </c>
      <c r="N220" s="60" t="e">
        <f t="shared" si="146"/>
        <v>#DIV/0!</v>
      </c>
      <c r="P220" s="60" t="e">
        <f t="shared" si="137"/>
        <v>#DIV/0!</v>
      </c>
      <c r="Q220" s="60" t="e">
        <f t="shared" si="138"/>
        <v>#DIV/0!</v>
      </c>
      <c r="R220" s="60" t="e">
        <f t="shared" si="147"/>
        <v>#DIV/0!</v>
      </c>
      <c r="S220" s="60" t="e">
        <f t="shared" si="147"/>
        <v>#DIV/0!</v>
      </c>
      <c r="T220" s="60" t="e">
        <f t="shared" si="147"/>
        <v>#DIV/0!</v>
      </c>
      <c r="U220" s="60" t="e">
        <f t="shared" si="147"/>
        <v>#DIV/0!</v>
      </c>
      <c r="AB220" s="60">
        <v>10</v>
      </c>
      <c r="AC220" s="60">
        <v>0.184</v>
      </c>
      <c r="AD220" s="60">
        <v>0.19324999999999998</v>
      </c>
      <c r="AE220" s="60">
        <v>0.20250000000000001</v>
      </c>
      <c r="AF220" s="60">
        <v>0.21174999999999999</v>
      </c>
      <c r="AG220" s="60">
        <v>0.221</v>
      </c>
      <c r="AI220" s="60">
        <v>90</v>
      </c>
      <c r="AK220" s="60">
        <v>0.14440000000000006</v>
      </c>
      <c r="AM220" s="60">
        <v>0.14565000000000006</v>
      </c>
      <c r="AO220" s="60">
        <v>0.14690000000000006</v>
      </c>
      <c r="AQ220" s="60">
        <v>0.14815000000000006</v>
      </c>
      <c r="AS220" s="60">
        <v>0.14940000000000006</v>
      </c>
      <c r="AW220" s="60">
        <v>40</v>
      </c>
      <c r="AX220" s="60">
        <v>1640.5</v>
      </c>
      <c r="AY220" s="60">
        <v>3874.875</v>
      </c>
      <c r="AZ220" s="60">
        <v>6109.25</v>
      </c>
      <c r="BA220" s="60">
        <v>8343.625</v>
      </c>
      <c r="BB220" s="60">
        <v>10578</v>
      </c>
      <c r="BI220" s="60">
        <v>10</v>
      </c>
      <c r="BJ220" s="60">
        <v>0.13500000000000001</v>
      </c>
      <c r="BK220" s="60">
        <v>0.14624999999999999</v>
      </c>
      <c r="BL220" s="60">
        <v>0.1575</v>
      </c>
      <c r="BM220" s="60">
        <v>0.16875000000000001</v>
      </c>
      <c r="BN220" s="60">
        <v>0.18</v>
      </c>
      <c r="BP220" s="60">
        <v>90</v>
      </c>
      <c r="BQ220" s="60">
        <v>8.9700000000000057E-2</v>
      </c>
      <c r="BR220" s="60">
        <v>9.4725000000000059E-2</v>
      </c>
      <c r="BS220" s="60">
        <v>9.9750000000000061E-2</v>
      </c>
      <c r="BT220" s="60">
        <v>0.10477500000000006</v>
      </c>
      <c r="BU220" s="60">
        <v>0.10980000000000006</v>
      </c>
      <c r="BW220" s="60">
        <v>40</v>
      </c>
      <c r="BX220" s="60">
        <v>2307</v>
      </c>
      <c r="BY220" s="60">
        <v>5027.375</v>
      </c>
      <c r="BZ220" s="60">
        <v>7747.75</v>
      </c>
      <c r="CA220" s="60">
        <v>10468.125</v>
      </c>
      <c r="CB220" s="60">
        <v>13188.5</v>
      </c>
      <c r="CI220" s="60">
        <v>10</v>
      </c>
      <c r="CJ220" s="60">
        <v>0.122</v>
      </c>
      <c r="CK220" s="60">
        <v>0.13087499999999999</v>
      </c>
      <c r="CL220" s="60">
        <v>0.13974999999999999</v>
      </c>
      <c r="CM220" s="60">
        <v>0.14862500000000001</v>
      </c>
      <c r="CN220" s="60">
        <v>0.1575</v>
      </c>
      <c r="CP220" s="60">
        <v>90</v>
      </c>
      <c r="CQ220" s="60">
        <v>7.8100000000000031E-2</v>
      </c>
      <c r="CR220" s="60">
        <v>8.2687500000000025E-2</v>
      </c>
      <c r="CS220" s="60">
        <v>8.7275000000000019E-2</v>
      </c>
      <c r="CT220" s="60">
        <v>9.1862500000000027E-2</v>
      </c>
      <c r="CU220" s="60">
        <v>9.6450000000000036E-2</v>
      </c>
      <c r="CW220" s="60">
        <v>40</v>
      </c>
      <c r="CX220" s="60">
        <v>2829.5</v>
      </c>
      <c r="CY220" s="60">
        <v>6170.3125</v>
      </c>
      <c r="CZ220" s="60">
        <v>9511.125</v>
      </c>
      <c r="DA220" s="60">
        <v>12851.9375</v>
      </c>
      <c r="DB220" s="60">
        <v>16192.75</v>
      </c>
      <c r="DI220" s="60">
        <v>10</v>
      </c>
      <c r="DJ220" s="60">
        <v>0.109</v>
      </c>
      <c r="DK220" s="60">
        <v>0.11549999999999999</v>
      </c>
      <c r="DL220" s="60">
        <v>0.122</v>
      </c>
      <c r="DM220" s="60">
        <v>0.1285</v>
      </c>
      <c r="DN220" s="60">
        <v>0.13500000000000001</v>
      </c>
      <c r="DP220" s="60">
        <v>90</v>
      </c>
      <c r="DQ220" s="60">
        <v>6.649999999999999E-2</v>
      </c>
      <c r="DR220" s="60">
        <v>7.0649999999999991E-2</v>
      </c>
      <c r="DS220" s="60">
        <v>7.4799999999999991E-2</v>
      </c>
      <c r="DT220" s="60">
        <v>7.8949999999999992E-2</v>
      </c>
      <c r="DU220" s="60">
        <v>8.3099999999999993E-2</v>
      </c>
      <c r="DW220" s="60">
        <v>40</v>
      </c>
      <c r="DX220" s="60">
        <v>3352</v>
      </c>
      <c r="DY220" s="60">
        <v>7313.25</v>
      </c>
      <c r="DZ220" s="60">
        <v>11274.5</v>
      </c>
      <c r="EA220" s="60">
        <v>15235.75</v>
      </c>
      <c r="EB220" s="60">
        <v>19197</v>
      </c>
    </row>
    <row r="221" spans="1:132" x14ac:dyDescent="0.2">
      <c r="B221" s="60" t="e">
        <f t="shared" si="133"/>
        <v>#DIV/0!</v>
      </c>
      <c r="C221" s="60" t="e">
        <f t="shared" si="134"/>
        <v>#DIV/0!</v>
      </c>
      <c r="D221" s="60" t="e">
        <f t="shared" si="139"/>
        <v>#DIV/0!</v>
      </c>
      <c r="E221" s="60" t="e">
        <f t="shared" si="140"/>
        <v>#DIV/0!</v>
      </c>
      <c r="F221" s="60" t="e">
        <f t="shared" si="141"/>
        <v>#DIV/0!</v>
      </c>
      <c r="G221" s="60" t="e">
        <f t="shared" si="142"/>
        <v>#DIV/0!</v>
      </c>
      <c r="I221" s="60" t="e">
        <f t="shared" si="135"/>
        <v>#DIV/0!</v>
      </c>
      <c r="J221" s="60" t="e">
        <f t="shared" si="136"/>
        <v>#DIV/0!</v>
      </c>
      <c r="K221" s="60" t="e">
        <f t="shared" si="143"/>
        <v>#DIV/0!</v>
      </c>
      <c r="L221" s="60" t="e">
        <f t="shared" si="144"/>
        <v>#DIV/0!</v>
      </c>
      <c r="M221" s="60" t="e">
        <f t="shared" si="145"/>
        <v>#DIV/0!</v>
      </c>
      <c r="N221" s="60" t="e">
        <f t="shared" si="146"/>
        <v>#DIV/0!</v>
      </c>
      <c r="P221" s="60" t="e">
        <f t="shared" si="137"/>
        <v>#DIV/0!</v>
      </c>
      <c r="Q221" s="60" t="e">
        <f t="shared" si="138"/>
        <v>#DIV/0!</v>
      </c>
      <c r="R221" s="60" t="e">
        <f t="shared" si="147"/>
        <v>#DIV/0!</v>
      </c>
      <c r="S221" s="60" t="e">
        <f t="shared" si="147"/>
        <v>#DIV/0!</v>
      </c>
      <c r="T221" s="60" t="e">
        <f t="shared" si="147"/>
        <v>#DIV/0!</v>
      </c>
      <c r="U221" s="60" t="e">
        <f t="shared" si="147"/>
        <v>#DIV/0!</v>
      </c>
      <c r="AB221" s="60">
        <v>20</v>
      </c>
      <c r="AC221" s="60">
        <v>0.156</v>
      </c>
      <c r="AD221" s="60">
        <v>0.16420833333333332</v>
      </c>
      <c r="AE221" s="60">
        <v>0.17241666666666666</v>
      </c>
      <c r="AF221" s="60">
        <v>0.18062500000000001</v>
      </c>
      <c r="AG221" s="60">
        <v>0.18883333333333333</v>
      </c>
      <c r="AI221" s="60">
        <v>100</v>
      </c>
      <c r="AK221" s="60">
        <v>0.19220000000000004</v>
      </c>
      <c r="AM221" s="60">
        <v>0.19370000000000004</v>
      </c>
      <c r="AO221" s="60">
        <v>0.19520000000000004</v>
      </c>
      <c r="AQ221" s="60">
        <v>0.19670000000000004</v>
      </c>
      <c r="AS221" s="60">
        <v>0.19820000000000004</v>
      </c>
      <c r="AW221" s="60">
        <v>50</v>
      </c>
      <c r="AX221" s="60">
        <v>1995.6666666666665</v>
      </c>
      <c r="AY221" s="60">
        <v>4704.166666666667</v>
      </c>
      <c r="AZ221" s="60">
        <v>7412.666666666667</v>
      </c>
      <c r="BA221" s="60">
        <v>10121.166666666666</v>
      </c>
      <c r="BB221" s="60">
        <v>12829.666666666666</v>
      </c>
      <c r="BI221" s="60">
        <v>20</v>
      </c>
      <c r="BJ221" s="60">
        <v>0.11349999999999999</v>
      </c>
      <c r="BK221" s="60">
        <v>0.12387499999999999</v>
      </c>
      <c r="BL221" s="60">
        <v>0.13424999999999998</v>
      </c>
      <c r="BM221" s="60">
        <v>0.14462499999999998</v>
      </c>
      <c r="BN221" s="60">
        <v>0.155</v>
      </c>
      <c r="BP221" s="60">
        <v>100</v>
      </c>
      <c r="BQ221" s="60">
        <v>0.12260000000000003</v>
      </c>
      <c r="BR221" s="60">
        <v>0.12905000000000003</v>
      </c>
      <c r="BS221" s="60">
        <v>0.13550000000000004</v>
      </c>
      <c r="BT221" s="60">
        <v>0.14195000000000002</v>
      </c>
      <c r="BU221" s="60">
        <v>0.14840000000000003</v>
      </c>
      <c r="BW221" s="60">
        <v>50</v>
      </c>
      <c r="BX221" s="60">
        <v>2805.6666666666661</v>
      </c>
      <c r="BY221" s="60">
        <v>6113.0833333333321</v>
      </c>
      <c r="BZ221" s="60">
        <v>9420.5</v>
      </c>
      <c r="CA221" s="60">
        <v>12727.916666666664</v>
      </c>
      <c r="CB221" s="60">
        <v>16035.333333333332</v>
      </c>
      <c r="CI221" s="60">
        <v>20</v>
      </c>
      <c r="CJ221" s="60">
        <v>0.10333333333333333</v>
      </c>
      <c r="CK221" s="60">
        <v>0.11154166666666665</v>
      </c>
      <c r="CL221" s="60">
        <v>0.11975</v>
      </c>
      <c r="CM221" s="60">
        <v>0.12795833333333331</v>
      </c>
      <c r="CN221" s="60">
        <v>0.13616666666666666</v>
      </c>
      <c r="CP221" s="60">
        <v>100</v>
      </c>
      <c r="CQ221" s="60">
        <v>0.10630000000000001</v>
      </c>
      <c r="CR221" s="60">
        <v>0.112125</v>
      </c>
      <c r="CS221" s="60">
        <v>0.11795000000000001</v>
      </c>
      <c r="CT221" s="60">
        <v>0.12377500000000001</v>
      </c>
      <c r="CU221" s="60">
        <v>0.12960000000000002</v>
      </c>
      <c r="CW221" s="60">
        <v>50</v>
      </c>
      <c r="CX221" s="60">
        <v>3437.5</v>
      </c>
      <c r="CY221" s="60">
        <v>7493.208333333333</v>
      </c>
      <c r="CZ221" s="60">
        <v>11548.916666666668</v>
      </c>
      <c r="DA221" s="60">
        <v>15604.624999999998</v>
      </c>
      <c r="DB221" s="60">
        <v>19660.333333333332</v>
      </c>
      <c r="DI221" s="60">
        <v>20</v>
      </c>
      <c r="DJ221" s="60">
        <v>9.3166666666666662E-2</v>
      </c>
      <c r="DK221" s="60">
        <v>9.9208333333333329E-2</v>
      </c>
      <c r="DL221" s="60">
        <v>0.10525</v>
      </c>
      <c r="DM221" s="60">
        <v>0.11129166666666666</v>
      </c>
      <c r="DN221" s="60">
        <v>0.11733333333333333</v>
      </c>
      <c r="DP221" s="60">
        <v>100</v>
      </c>
      <c r="DQ221" s="60">
        <v>0.09</v>
      </c>
      <c r="DR221" s="60">
        <v>9.5199999999999993E-2</v>
      </c>
      <c r="DS221" s="60">
        <v>0.10039999999999999</v>
      </c>
      <c r="DT221" s="60">
        <v>0.1056</v>
      </c>
      <c r="DU221" s="60">
        <v>0.1108</v>
      </c>
      <c r="DW221" s="60">
        <v>50</v>
      </c>
      <c r="DX221" s="60">
        <v>4069.3333333333335</v>
      </c>
      <c r="DY221" s="60">
        <v>8873.3333333333339</v>
      </c>
      <c r="DZ221" s="60">
        <v>13677.333333333334</v>
      </c>
      <c r="EA221" s="60">
        <v>18481.333333333332</v>
      </c>
      <c r="EB221" s="60">
        <v>23285.333333333332</v>
      </c>
    </row>
    <row r="222" spans="1:132" x14ac:dyDescent="0.2">
      <c r="B222" s="60" t="e">
        <f t="shared" si="133"/>
        <v>#DIV/0!</v>
      </c>
      <c r="C222" s="60" t="e">
        <f t="shared" si="134"/>
        <v>#DIV/0!</v>
      </c>
      <c r="D222" s="60" t="e">
        <f t="shared" si="139"/>
        <v>#DIV/0!</v>
      </c>
      <c r="E222" s="60" t="e">
        <f t="shared" si="140"/>
        <v>#DIV/0!</v>
      </c>
      <c r="F222" s="60" t="e">
        <f t="shared" si="141"/>
        <v>#DIV/0!</v>
      </c>
      <c r="G222" s="60" t="e">
        <f t="shared" si="142"/>
        <v>#DIV/0!</v>
      </c>
      <c r="I222" s="60" t="e">
        <f t="shared" si="135"/>
        <v>#DIV/0!</v>
      </c>
      <c r="J222" s="60" t="e">
        <f t="shared" si="136"/>
        <v>#DIV/0!</v>
      </c>
      <c r="K222" s="60" t="e">
        <f t="shared" si="143"/>
        <v>#DIV/0!</v>
      </c>
      <c r="L222" s="60" t="e">
        <f t="shared" si="144"/>
        <v>#DIV/0!</v>
      </c>
      <c r="M222" s="60" t="e">
        <f t="shared" si="145"/>
        <v>#DIV/0!</v>
      </c>
      <c r="N222" s="60" t="e">
        <f t="shared" si="146"/>
        <v>#DIV/0!</v>
      </c>
      <c r="P222" s="60" t="e">
        <f t="shared" si="137"/>
        <v>#DIV/0!</v>
      </c>
      <c r="Q222" s="60" t="e">
        <f t="shared" si="138"/>
        <v>#DIV/0!</v>
      </c>
      <c r="R222" s="60" t="e">
        <f t="shared" si="147"/>
        <v>#DIV/0!</v>
      </c>
      <c r="S222" s="60" t="e">
        <f t="shared" si="147"/>
        <v>#DIV/0!</v>
      </c>
      <c r="T222" s="60" t="e">
        <f t="shared" si="147"/>
        <v>#DIV/0!</v>
      </c>
      <c r="U222" s="60" t="e">
        <f t="shared" si="147"/>
        <v>#DIV/0!</v>
      </c>
      <c r="AB222" s="60">
        <v>30</v>
      </c>
      <c r="AC222" s="60">
        <v>0.128</v>
      </c>
      <c r="AD222" s="60">
        <v>0.13516666666666666</v>
      </c>
      <c r="AE222" s="60">
        <v>0.14233333333333334</v>
      </c>
      <c r="AF222" s="60">
        <v>0.14949999999999999</v>
      </c>
      <c r="AG222" s="60">
        <v>0.15666666666666668</v>
      </c>
      <c r="AI222" s="60">
        <v>110</v>
      </c>
      <c r="AK222" s="60">
        <v>0.24</v>
      </c>
      <c r="AM222" s="60">
        <v>0.24175000000000008</v>
      </c>
      <c r="AO222" s="60">
        <v>0.24350000000000008</v>
      </c>
      <c r="AQ222" s="60">
        <v>0.24525000000000008</v>
      </c>
      <c r="AS222" s="60">
        <v>0.24700000000000008</v>
      </c>
      <c r="AW222" s="60">
        <v>60</v>
      </c>
      <c r="AX222" s="60">
        <v>2350.8333333333335</v>
      </c>
      <c r="AY222" s="60">
        <v>5533.458333333333</v>
      </c>
      <c r="AZ222" s="60">
        <v>8716.0833333333339</v>
      </c>
      <c r="BA222" s="60">
        <v>11898.708333333334</v>
      </c>
      <c r="BB222" s="60">
        <v>15081.333333333334</v>
      </c>
      <c r="BI222" s="60">
        <v>30</v>
      </c>
      <c r="BJ222" s="60">
        <v>9.1999999999999998E-2</v>
      </c>
      <c r="BK222" s="60">
        <v>0.10150000000000001</v>
      </c>
      <c r="BL222" s="60">
        <v>0.111</v>
      </c>
      <c r="BM222" s="60">
        <v>0.1205</v>
      </c>
      <c r="BN222" s="60">
        <v>0.13</v>
      </c>
      <c r="BP222" s="60">
        <v>110</v>
      </c>
      <c r="BQ222" s="60">
        <v>0.1555</v>
      </c>
      <c r="BR222" s="60">
        <v>0.16337499999999999</v>
      </c>
      <c r="BS222" s="60">
        <v>0.17125000000000001</v>
      </c>
      <c r="BT222" s="60">
        <v>0.17912500000000001</v>
      </c>
      <c r="BU222" s="60">
        <v>0.187</v>
      </c>
      <c r="BW222" s="60">
        <v>60</v>
      </c>
      <c r="BX222" s="60">
        <v>3304.333333333333</v>
      </c>
      <c r="BY222" s="60">
        <v>7198.7916666666661</v>
      </c>
      <c r="BZ222" s="60">
        <v>11093.25</v>
      </c>
      <c r="CA222" s="60">
        <v>14987.708333333332</v>
      </c>
      <c r="CB222" s="60">
        <v>18882.166666666664</v>
      </c>
      <c r="CI222" s="60">
        <v>30</v>
      </c>
      <c r="CJ222" s="60">
        <v>8.4666666666666668E-2</v>
      </c>
      <c r="CK222" s="60">
        <v>9.2208333333333337E-2</v>
      </c>
      <c r="CL222" s="60">
        <v>9.9750000000000005E-2</v>
      </c>
      <c r="CM222" s="60">
        <v>0.10729166666666666</v>
      </c>
      <c r="CN222" s="60">
        <v>0.11483333333333334</v>
      </c>
      <c r="CP222" s="60">
        <v>110</v>
      </c>
      <c r="CQ222" s="60">
        <v>0.13450000000000001</v>
      </c>
      <c r="CR222" s="60">
        <v>0.14156250000000001</v>
      </c>
      <c r="CS222" s="60">
        <v>0.14862500000000001</v>
      </c>
      <c r="CT222" s="60">
        <v>0.15568750000000001</v>
      </c>
      <c r="CU222" s="60">
        <v>0.16275000000000001</v>
      </c>
      <c r="CW222" s="60">
        <v>60</v>
      </c>
      <c r="CX222" s="60">
        <v>4045.5</v>
      </c>
      <c r="CY222" s="60">
        <v>8816.1041666666661</v>
      </c>
      <c r="CZ222" s="60">
        <v>13586.708333333332</v>
      </c>
      <c r="DA222" s="60">
        <v>18357.3125</v>
      </c>
      <c r="DB222" s="60">
        <v>23127.916666666664</v>
      </c>
      <c r="DI222" s="60">
        <v>30</v>
      </c>
      <c r="DJ222" s="60">
        <v>7.7333333333333323E-2</v>
      </c>
      <c r="DK222" s="60">
        <v>8.2916666666666666E-2</v>
      </c>
      <c r="DL222" s="60">
        <v>8.8499999999999995E-2</v>
      </c>
      <c r="DM222" s="60">
        <v>9.4083333333333324E-2</v>
      </c>
      <c r="DN222" s="60">
        <v>9.9666666666666667E-2</v>
      </c>
      <c r="DP222" s="60">
        <v>110</v>
      </c>
      <c r="DQ222" s="60">
        <v>0.11349999999999999</v>
      </c>
      <c r="DR222" s="60">
        <v>0.11975</v>
      </c>
      <c r="DS222" s="60">
        <v>0.126</v>
      </c>
      <c r="DT222" s="60">
        <v>0.13225000000000001</v>
      </c>
      <c r="DU222" s="60">
        <v>0.13850000000000001</v>
      </c>
      <c r="DW222" s="60">
        <v>60</v>
      </c>
      <c r="DX222" s="60">
        <v>4786.666666666667</v>
      </c>
      <c r="DY222" s="60">
        <v>10433.416666666666</v>
      </c>
      <c r="DZ222" s="60">
        <v>16080.166666666666</v>
      </c>
      <c r="EA222" s="60">
        <v>21726.916666666668</v>
      </c>
      <c r="EB222" s="60">
        <v>27373.666666666668</v>
      </c>
    </row>
    <row r="223" spans="1:132" x14ac:dyDescent="0.2">
      <c r="B223" s="60" t="e">
        <f t="shared" si="133"/>
        <v>#DIV/0!</v>
      </c>
      <c r="C223" s="60" t="e">
        <f t="shared" si="134"/>
        <v>#DIV/0!</v>
      </c>
      <c r="D223" s="60" t="e">
        <f t="shared" si="139"/>
        <v>#DIV/0!</v>
      </c>
      <c r="E223" s="60" t="e">
        <f t="shared" si="140"/>
        <v>#DIV/0!</v>
      </c>
      <c r="F223" s="60" t="e">
        <f t="shared" si="141"/>
        <v>#DIV/0!</v>
      </c>
      <c r="G223" s="60" t="e">
        <f t="shared" si="142"/>
        <v>#DIV/0!</v>
      </c>
      <c r="I223" s="60" t="e">
        <f t="shared" si="135"/>
        <v>#DIV/0!</v>
      </c>
      <c r="J223" s="60" t="e">
        <f t="shared" si="136"/>
        <v>#DIV/0!</v>
      </c>
      <c r="K223" s="60" t="e">
        <f t="shared" si="143"/>
        <v>#DIV/0!</v>
      </c>
      <c r="L223" s="60" t="e">
        <f t="shared" si="144"/>
        <v>#DIV/0!</v>
      </c>
      <c r="M223" s="60" t="e">
        <f t="shared" si="145"/>
        <v>#DIV/0!</v>
      </c>
      <c r="N223" s="60" t="e">
        <f t="shared" si="146"/>
        <v>#DIV/0!</v>
      </c>
      <c r="P223" s="60" t="e">
        <f t="shared" si="137"/>
        <v>#DIV/0!</v>
      </c>
      <c r="Q223" s="60" t="e">
        <f t="shared" si="138"/>
        <v>#DIV/0!</v>
      </c>
      <c r="R223" s="60" t="e">
        <f t="shared" si="147"/>
        <v>#DIV/0!</v>
      </c>
      <c r="S223" s="60" t="e">
        <f t="shared" si="147"/>
        <v>#DIV/0!</v>
      </c>
      <c r="T223" s="60" t="e">
        <f t="shared" si="147"/>
        <v>#DIV/0!</v>
      </c>
      <c r="U223" s="60" t="e">
        <f t="shared" si="147"/>
        <v>#DIV/0!</v>
      </c>
      <c r="AB223" s="60">
        <v>40</v>
      </c>
      <c r="AC223" s="60">
        <v>0.1</v>
      </c>
      <c r="AD223" s="60">
        <v>0.106125</v>
      </c>
      <c r="AE223" s="60">
        <v>0.11225</v>
      </c>
      <c r="AF223" s="60">
        <v>0.11837500000000001</v>
      </c>
      <c r="AG223" s="60">
        <v>0.1245</v>
      </c>
      <c r="AI223" s="60">
        <v>120</v>
      </c>
      <c r="AK223" s="60">
        <v>0.28780000000000006</v>
      </c>
      <c r="AM223" s="60">
        <v>0.28980000000000006</v>
      </c>
      <c r="AO223" s="60">
        <v>0.29180000000000006</v>
      </c>
      <c r="AQ223" s="60">
        <v>0.29380000000000006</v>
      </c>
      <c r="AS223" s="60">
        <v>0.29580000000000006</v>
      </c>
      <c r="AW223" s="60">
        <v>70</v>
      </c>
      <c r="AX223" s="60">
        <v>2706</v>
      </c>
      <c r="AY223" s="60">
        <v>6362.75</v>
      </c>
      <c r="AZ223" s="60">
        <v>10019.5</v>
      </c>
      <c r="BA223" s="60">
        <v>13676.25</v>
      </c>
      <c r="BB223" s="60">
        <v>17333</v>
      </c>
      <c r="BI223" s="60">
        <v>40</v>
      </c>
      <c r="BJ223" s="60">
        <v>7.0499999999999993E-2</v>
      </c>
      <c r="BK223" s="60">
        <v>7.9125000000000001E-2</v>
      </c>
      <c r="BL223" s="60">
        <v>8.7749999999999995E-2</v>
      </c>
      <c r="BM223" s="60">
        <v>9.6374999999999988E-2</v>
      </c>
      <c r="BN223" s="60">
        <v>0.105</v>
      </c>
      <c r="BP223" s="60">
        <v>120</v>
      </c>
      <c r="BQ223" s="60">
        <v>0.18840000000000004</v>
      </c>
      <c r="BR223" s="60">
        <v>0.19770000000000004</v>
      </c>
      <c r="BS223" s="60">
        <v>0.20700000000000005</v>
      </c>
      <c r="BT223" s="60">
        <v>0.21630000000000005</v>
      </c>
      <c r="BU223" s="60">
        <v>0.22560000000000002</v>
      </c>
      <c r="BW223" s="60">
        <v>70</v>
      </c>
      <c r="BX223" s="60">
        <v>3803</v>
      </c>
      <c r="BY223" s="60">
        <v>8284.5</v>
      </c>
      <c r="BZ223" s="60">
        <v>12766</v>
      </c>
      <c r="CA223" s="60">
        <v>17247.5</v>
      </c>
      <c r="CB223" s="60">
        <v>21729</v>
      </c>
      <c r="CI223" s="60">
        <v>40</v>
      </c>
      <c r="CJ223" s="60">
        <v>6.6000000000000003E-2</v>
      </c>
      <c r="CK223" s="60">
        <v>7.2874999999999995E-2</v>
      </c>
      <c r="CL223" s="60">
        <v>7.9749999999999988E-2</v>
      </c>
      <c r="CM223" s="60">
        <v>8.6624999999999994E-2</v>
      </c>
      <c r="CN223" s="60">
        <v>9.35E-2</v>
      </c>
      <c r="CP223" s="60">
        <v>120</v>
      </c>
      <c r="CQ223" s="60">
        <v>0.16270000000000001</v>
      </c>
      <c r="CR223" s="60">
        <v>0.17100000000000004</v>
      </c>
      <c r="CS223" s="60">
        <v>0.17930000000000001</v>
      </c>
      <c r="CT223" s="60">
        <v>0.18760000000000004</v>
      </c>
      <c r="CU223" s="60">
        <v>0.19590000000000002</v>
      </c>
      <c r="CW223" s="60">
        <v>70</v>
      </c>
      <c r="CX223" s="60">
        <v>4653.5</v>
      </c>
      <c r="CY223" s="60">
        <v>10139</v>
      </c>
      <c r="CZ223" s="60">
        <v>15624.5</v>
      </c>
      <c r="DA223" s="60">
        <v>21110</v>
      </c>
      <c r="DB223" s="60">
        <v>26595.5</v>
      </c>
      <c r="DI223" s="60">
        <v>40</v>
      </c>
      <c r="DJ223" s="60">
        <v>6.1499999999999999E-2</v>
      </c>
      <c r="DK223" s="60">
        <v>6.662499999999999E-2</v>
      </c>
      <c r="DL223" s="60">
        <v>7.1749999999999994E-2</v>
      </c>
      <c r="DM223" s="60">
        <v>7.6874999999999999E-2</v>
      </c>
      <c r="DN223" s="60">
        <v>8.2000000000000003E-2</v>
      </c>
      <c r="DP223" s="60">
        <v>120</v>
      </c>
      <c r="DQ223" s="60">
        <v>0.13700000000000001</v>
      </c>
      <c r="DR223" s="60">
        <v>0.14430000000000001</v>
      </c>
      <c r="DS223" s="60">
        <v>0.15160000000000001</v>
      </c>
      <c r="DT223" s="60">
        <v>0.15890000000000001</v>
      </c>
      <c r="DU223" s="60">
        <v>0.16620000000000001</v>
      </c>
      <c r="DW223" s="60">
        <v>70</v>
      </c>
      <c r="DX223" s="60">
        <v>5504</v>
      </c>
      <c r="DY223" s="60">
        <v>11993.5</v>
      </c>
      <c r="DZ223" s="60">
        <v>18483</v>
      </c>
      <c r="EA223" s="60">
        <v>24972.5</v>
      </c>
      <c r="EB223" s="60">
        <v>31462</v>
      </c>
    </row>
    <row r="224" spans="1:132" x14ac:dyDescent="0.2">
      <c r="B224" s="60" t="e">
        <f t="shared" si="133"/>
        <v>#DIV/0!</v>
      </c>
      <c r="C224" s="60" t="e">
        <f t="shared" si="134"/>
        <v>#DIV/0!</v>
      </c>
      <c r="D224" s="60" t="e">
        <f t="shared" si="139"/>
        <v>#DIV/0!</v>
      </c>
      <c r="E224" s="60" t="e">
        <f t="shared" si="140"/>
        <v>#DIV/0!</v>
      </c>
      <c r="F224" s="60" t="e">
        <f t="shared" si="141"/>
        <v>#DIV/0!</v>
      </c>
      <c r="G224" s="60" t="e">
        <f t="shared" si="142"/>
        <v>#DIV/0!</v>
      </c>
      <c r="I224" s="60" t="e">
        <f t="shared" si="135"/>
        <v>#DIV/0!</v>
      </c>
      <c r="J224" s="60" t="e">
        <f t="shared" si="136"/>
        <v>#DIV/0!</v>
      </c>
      <c r="K224" s="60" t="e">
        <f t="shared" si="143"/>
        <v>#DIV/0!</v>
      </c>
      <c r="L224" s="60" t="e">
        <f t="shared" si="144"/>
        <v>#DIV/0!</v>
      </c>
      <c r="M224" s="60" t="e">
        <f t="shared" si="145"/>
        <v>#DIV/0!</v>
      </c>
      <c r="N224" s="60" t="e">
        <f t="shared" si="146"/>
        <v>#DIV/0!</v>
      </c>
      <c r="AB224" s="60">
        <v>50</v>
      </c>
      <c r="AC224" s="60">
        <v>7.2000000000000008E-2</v>
      </c>
      <c r="AD224" s="60">
        <v>7.7083333333333351E-2</v>
      </c>
      <c r="AE224" s="60">
        <v>8.216666666666668E-2</v>
      </c>
      <c r="AF224" s="60">
        <v>8.7250000000000008E-2</v>
      </c>
      <c r="AG224" s="60">
        <v>9.2333333333333351E-2</v>
      </c>
      <c r="AI224" s="60">
        <v>130</v>
      </c>
      <c r="AK224" s="60">
        <v>0.33560000000000001</v>
      </c>
      <c r="AM224" s="60">
        <v>0.33785000000000004</v>
      </c>
      <c r="AO224" s="60">
        <v>0.34010000000000007</v>
      </c>
      <c r="AQ224" s="60">
        <v>0.34235000000000004</v>
      </c>
      <c r="AS224" s="60">
        <v>0.34460000000000002</v>
      </c>
      <c r="AW224" s="60" t="s">
        <v>237</v>
      </c>
      <c r="BI224" s="60">
        <v>50</v>
      </c>
      <c r="BJ224" s="60">
        <v>4.8999999999999995E-2</v>
      </c>
      <c r="BK224" s="60">
        <v>5.6749999999999995E-2</v>
      </c>
      <c r="BL224" s="60">
        <v>6.4499999999999988E-2</v>
      </c>
      <c r="BM224" s="60">
        <v>7.2249999999999981E-2</v>
      </c>
      <c r="BN224" s="60">
        <v>0.08</v>
      </c>
      <c r="BP224" s="60">
        <v>130</v>
      </c>
      <c r="BQ224" s="60">
        <v>0.2213</v>
      </c>
      <c r="BR224" s="60">
        <v>0.23202500000000001</v>
      </c>
      <c r="BS224" s="60">
        <v>0.24275000000000002</v>
      </c>
      <c r="BT224" s="60">
        <v>0.25347500000000001</v>
      </c>
      <c r="BU224" s="60">
        <v>0.26419999999999999</v>
      </c>
      <c r="BW224" s="60" t="s">
        <v>1700</v>
      </c>
      <c r="CI224" s="60">
        <v>50</v>
      </c>
      <c r="CJ224" s="60">
        <v>4.7333333333333324E-2</v>
      </c>
      <c r="CK224" s="60">
        <v>5.3541666666666661E-2</v>
      </c>
      <c r="CL224" s="60">
        <v>5.9749999999999998E-2</v>
      </c>
      <c r="CM224" s="60">
        <v>6.5958333333333313E-2</v>
      </c>
      <c r="CN224" s="60">
        <v>7.2166666666666657E-2</v>
      </c>
      <c r="CP224" s="60">
        <v>130</v>
      </c>
      <c r="CQ224" s="60">
        <v>0.19089999999999999</v>
      </c>
      <c r="CR224" s="60">
        <v>0.20043749999999999</v>
      </c>
      <c r="CS224" s="60">
        <v>0.20997500000000002</v>
      </c>
      <c r="CT224" s="60">
        <v>0.2195125</v>
      </c>
      <c r="CU224" s="60">
        <v>0.22904999999999998</v>
      </c>
      <c r="CW224" s="60" t="s">
        <v>224</v>
      </c>
      <c r="DI224" s="60">
        <v>50</v>
      </c>
      <c r="DJ224" s="60">
        <v>4.5666666666666661E-2</v>
      </c>
      <c r="DK224" s="60">
        <v>5.0333333333333327E-2</v>
      </c>
      <c r="DL224" s="60">
        <v>5.5E-2</v>
      </c>
      <c r="DM224" s="60">
        <v>5.966666666666666E-2</v>
      </c>
      <c r="DN224" s="60">
        <v>6.4333333333333326E-2</v>
      </c>
      <c r="DP224" s="60">
        <v>130</v>
      </c>
      <c r="DQ224" s="60">
        <v>0.16049999999999998</v>
      </c>
      <c r="DR224" s="60">
        <v>0.16885</v>
      </c>
      <c r="DS224" s="60">
        <v>0.1772</v>
      </c>
      <c r="DT224" s="60">
        <v>0.18554999999999999</v>
      </c>
      <c r="DU224" s="60">
        <v>0.19389999999999999</v>
      </c>
      <c r="DW224" s="60" t="s">
        <v>1705</v>
      </c>
    </row>
    <row r="225" spans="2:130" x14ac:dyDescent="0.2">
      <c r="B225" s="60" t="e">
        <f t="shared" si="133"/>
        <v>#DIV/0!</v>
      </c>
      <c r="C225" s="60" t="e">
        <f t="shared" si="134"/>
        <v>#DIV/0!</v>
      </c>
      <c r="D225" s="60" t="e">
        <f t="shared" si="139"/>
        <v>#DIV/0!</v>
      </c>
      <c r="E225" s="60" t="e">
        <f t="shared" si="140"/>
        <v>#DIV/0!</v>
      </c>
      <c r="F225" s="60" t="e">
        <f t="shared" si="141"/>
        <v>#DIV/0!</v>
      </c>
      <c r="G225" s="60" t="e">
        <f t="shared" si="142"/>
        <v>#DIV/0!</v>
      </c>
      <c r="I225" s="60" t="e">
        <f t="shared" si="135"/>
        <v>#DIV/0!</v>
      </c>
      <c r="J225" s="60" t="e">
        <f t="shared" si="136"/>
        <v>#DIV/0!</v>
      </c>
      <c r="K225" s="60" t="e">
        <f t="shared" si="143"/>
        <v>#DIV/0!</v>
      </c>
      <c r="L225" s="60" t="e">
        <f t="shared" si="144"/>
        <v>#DIV/0!</v>
      </c>
      <c r="M225" s="60" t="e">
        <f t="shared" si="145"/>
        <v>#DIV/0!</v>
      </c>
      <c r="N225" s="60" t="e">
        <f t="shared" si="146"/>
        <v>#DIV/0!</v>
      </c>
      <c r="AB225" s="60">
        <v>60</v>
      </c>
      <c r="AC225" s="60">
        <v>4.4000000000000011E-2</v>
      </c>
      <c r="AD225" s="60">
        <v>4.8041666666666677E-2</v>
      </c>
      <c r="AE225" s="60">
        <v>5.208333333333335E-2</v>
      </c>
      <c r="AF225" s="60">
        <v>5.6125000000000015E-2</v>
      </c>
      <c r="AG225" s="60">
        <v>6.0166666666666681E-2</v>
      </c>
      <c r="AI225" s="60">
        <v>140</v>
      </c>
      <c r="AK225" s="60">
        <v>0.38340000000000002</v>
      </c>
      <c r="AM225" s="60">
        <v>0.38590000000000002</v>
      </c>
      <c r="AO225" s="60">
        <v>0.38840000000000002</v>
      </c>
      <c r="AQ225" s="60">
        <v>0.39090000000000003</v>
      </c>
      <c r="AS225" s="60">
        <v>0.39340000000000003</v>
      </c>
      <c r="BI225" s="60">
        <v>60</v>
      </c>
      <c r="BJ225" s="60">
        <v>2.75E-2</v>
      </c>
      <c r="BK225" s="60">
        <v>3.4375000000000003E-2</v>
      </c>
      <c r="BL225" s="60">
        <v>4.1250000000000002E-2</v>
      </c>
      <c r="BM225" s="60">
        <v>4.8125000000000001E-2</v>
      </c>
      <c r="BN225" s="60">
        <v>5.5E-2</v>
      </c>
      <c r="BP225" s="60">
        <v>140</v>
      </c>
      <c r="BQ225" s="60">
        <v>0.25419999999999998</v>
      </c>
      <c r="BR225" s="60">
        <v>0.26634999999999998</v>
      </c>
      <c r="BS225" s="60">
        <v>0.27849999999999997</v>
      </c>
      <c r="BT225" s="60">
        <v>0.29064999999999996</v>
      </c>
      <c r="BU225" s="60">
        <v>0.30279999999999996</v>
      </c>
      <c r="CI225" s="60">
        <v>60</v>
      </c>
      <c r="CJ225" s="60">
        <v>2.8666666666666667E-2</v>
      </c>
      <c r="CK225" s="60">
        <v>3.4208333333333334E-2</v>
      </c>
      <c r="CL225" s="60">
        <v>3.9749999999999994E-2</v>
      </c>
      <c r="CM225" s="60">
        <v>4.5291666666666661E-2</v>
      </c>
      <c r="CN225" s="60">
        <v>5.0833333333333328E-2</v>
      </c>
      <c r="CP225" s="60">
        <v>140</v>
      </c>
      <c r="CQ225" s="60">
        <v>0.21909999999999999</v>
      </c>
      <c r="CR225" s="60">
        <v>0.229875</v>
      </c>
      <c r="CS225" s="60">
        <v>0.24064999999999998</v>
      </c>
      <c r="CT225" s="60">
        <v>0.25142500000000001</v>
      </c>
      <c r="CU225" s="60">
        <v>0.26219999999999999</v>
      </c>
      <c r="DI225" s="60">
        <v>60</v>
      </c>
      <c r="DJ225" s="60">
        <v>2.983333333333333E-2</v>
      </c>
      <c r="DK225" s="60">
        <v>3.4041666666666665E-2</v>
      </c>
      <c r="DL225" s="60">
        <v>3.8249999999999992E-2</v>
      </c>
      <c r="DM225" s="60">
        <v>4.2458333333333327E-2</v>
      </c>
      <c r="DN225" s="60">
        <v>4.6666666666666662E-2</v>
      </c>
      <c r="DP225" s="60">
        <v>140</v>
      </c>
      <c r="DQ225" s="60">
        <v>0.184</v>
      </c>
      <c r="DR225" s="60">
        <v>0.19340000000000002</v>
      </c>
      <c r="DS225" s="60">
        <v>0.20280000000000001</v>
      </c>
      <c r="DT225" s="60">
        <v>0.21220000000000003</v>
      </c>
      <c r="DU225" s="60">
        <v>0.22160000000000002</v>
      </c>
    </row>
    <row r="226" spans="2:130" x14ac:dyDescent="0.2">
      <c r="B226" s="60" t="e">
        <f t="shared" si="133"/>
        <v>#DIV/0!</v>
      </c>
      <c r="C226" s="60" t="e">
        <f t="shared" si="134"/>
        <v>#DIV/0!</v>
      </c>
      <c r="D226" s="60" t="e">
        <f t="shared" si="139"/>
        <v>#DIV/0!</v>
      </c>
      <c r="E226" s="60" t="e">
        <f t="shared" si="140"/>
        <v>#DIV/0!</v>
      </c>
      <c r="F226" s="60" t="e">
        <f t="shared" si="141"/>
        <v>#DIV/0!</v>
      </c>
      <c r="G226" s="60" t="e">
        <f t="shared" si="142"/>
        <v>#DIV/0!</v>
      </c>
      <c r="I226" s="60" t="e">
        <f t="shared" si="135"/>
        <v>#DIV/0!</v>
      </c>
      <c r="J226" s="60" t="e">
        <f t="shared" si="136"/>
        <v>#DIV/0!</v>
      </c>
      <c r="K226" s="60" t="e">
        <f t="shared" si="143"/>
        <v>#DIV/0!</v>
      </c>
      <c r="L226" s="60" t="e">
        <f t="shared" si="144"/>
        <v>#DIV/0!</v>
      </c>
      <c r="M226" s="60" t="e">
        <f t="shared" si="145"/>
        <v>#DIV/0!</v>
      </c>
      <c r="N226" s="60" t="e">
        <f t="shared" si="146"/>
        <v>#DIV/0!</v>
      </c>
      <c r="P226" s="60" t="e">
        <f t="shared" ref="P226:P232" si="148">IF($A$214=1,AW226,IF($A$214=2,BW226,IF($A$214=3,CW226,IF($A$214=4,DW226))))</f>
        <v>#DIV/0!</v>
      </c>
      <c r="AB226" s="60">
        <v>70</v>
      </c>
      <c r="AC226" s="60">
        <v>1.6000000000000011E-2</v>
      </c>
      <c r="AD226" s="60">
        <v>1.9000000000000013E-2</v>
      </c>
      <c r="AE226" s="60">
        <v>2.2000000000000013E-2</v>
      </c>
      <c r="AF226" s="60">
        <v>2.5000000000000001E-2</v>
      </c>
      <c r="AG226" s="60">
        <v>2.8000000000000014E-2</v>
      </c>
      <c r="AI226" s="60">
        <v>150</v>
      </c>
      <c r="AK226" s="60">
        <v>0.43119999999999997</v>
      </c>
      <c r="AM226" s="60">
        <v>0.43395</v>
      </c>
      <c r="AO226" s="60">
        <v>0.43669999999999998</v>
      </c>
      <c r="AQ226" s="60">
        <v>0.43945000000000001</v>
      </c>
      <c r="AS226" s="60">
        <v>0.44219999999999998</v>
      </c>
      <c r="AW226" s="60" t="s">
        <v>3966</v>
      </c>
      <c r="BI226" s="60">
        <v>70</v>
      </c>
      <c r="BJ226" s="60">
        <v>6.0000000000000001E-3</v>
      </c>
      <c r="BK226" s="60">
        <v>1.2E-2</v>
      </c>
      <c r="BL226" s="60">
        <v>1.7999999999999999E-2</v>
      </c>
      <c r="BM226" s="60">
        <v>2.4E-2</v>
      </c>
      <c r="BN226" s="60">
        <v>0.03</v>
      </c>
      <c r="BP226" s="60">
        <v>150</v>
      </c>
      <c r="BQ226" s="60">
        <v>0.28710000000000002</v>
      </c>
      <c r="BR226" s="60">
        <v>0.30067500000000003</v>
      </c>
      <c r="BS226" s="60">
        <v>0.31425000000000003</v>
      </c>
      <c r="BT226" s="60">
        <v>0.32782500000000003</v>
      </c>
      <c r="BU226" s="60">
        <v>0.34140000000000004</v>
      </c>
      <c r="BW226" s="60" t="s">
        <v>3966</v>
      </c>
      <c r="CI226" s="60">
        <v>70</v>
      </c>
      <c r="CJ226" s="60">
        <v>0.01</v>
      </c>
      <c r="CK226" s="60">
        <v>1.4874999999999998E-2</v>
      </c>
      <c r="CL226" s="60">
        <v>1.9749999999999997E-2</v>
      </c>
      <c r="CM226" s="60">
        <v>2.4624999999999998E-2</v>
      </c>
      <c r="CN226" s="60">
        <v>2.9499999999999998E-2</v>
      </c>
      <c r="CP226" s="60">
        <v>150</v>
      </c>
      <c r="CQ226" s="60">
        <v>0.24730000000000002</v>
      </c>
      <c r="CR226" s="60">
        <v>0.2593125</v>
      </c>
      <c r="CS226" s="60">
        <v>0.27132500000000004</v>
      </c>
      <c r="CT226" s="60">
        <v>0.28333750000000002</v>
      </c>
      <c r="CU226" s="60">
        <v>0.29535</v>
      </c>
      <c r="CW226" s="60" t="s">
        <v>3966</v>
      </c>
      <c r="DI226" s="60">
        <v>70</v>
      </c>
      <c r="DJ226" s="60">
        <v>1.3999999999999995E-2</v>
      </c>
      <c r="DK226" s="60">
        <v>1.7749999999999995E-2</v>
      </c>
      <c r="DL226" s="60">
        <v>2.1499999999999995E-2</v>
      </c>
      <c r="DM226" s="60">
        <v>2.5249999999999995E-2</v>
      </c>
      <c r="DN226" s="60">
        <v>2.8999999999999995E-2</v>
      </c>
      <c r="DP226" s="60">
        <v>150</v>
      </c>
      <c r="DQ226" s="60">
        <v>0.20749999999999999</v>
      </c>
      <c r="DR226" s="60">
        <v>0.21794999999999998</v>
      </c>
      <c r="DS226" s="60">
        <v>0.22839999999999999</v>
      </c>
      <c r="DT226" s="60">
        <v>0.23884999999999998</v>
      </c>
      <c r="DU226" s="60">
        <v>0.24929999999999999</v>
      </c>
      <c r="DW226" s="60" t="s">
        <v>3966</v>
      </c>
    </row>
    <row r="227" spans="2:130" x14ac:dyDescent="0.2">
      <c r="I227" s="60" t="e">
        <f t="shared" si="135"/>
        <v>#DIV/0!</v>
      </c>
      <c r="J227" s="60" t="e">
        <f t="shared" si="136"/>
        <v>#DIV/0!</v>
      </c>
      <c r="K227" s="60" t="e">
        <f t="shared" si="143"/>
        <v>#DIV/0!</v>
      </c>
      <c r="L227" s="60" t="e">
        <f t="shared" si="144"/>
        <v>#DIV/0!</v>
      </c>
      <c r="M227" s="60" t="e">
        <f t="shared" si="145"/>
        <v>#DIV/0!</v>
      </c>
      <c r="N227" s="60" t="e">
        <f t="shared" si="146"/>
        <v>#DIV/0!</v>
      </c>
      <c r="P227" s="60" t="e">
        <f t="shared" si="148"/>
        <v>#DIV/0!</v>
      </c>
      <c r="Q227" s="60" t="e">
        <f>IF($A$214=1,AX227,IF($A$214=2,BX227,IF($A$214=3,CX227,IF($A$214=4,DX227))))</f>
        <v>#DIV/0!</v>
      </c>
      <c r="AB227" s="60" t="s">
        <v>238</v>
      </c>
      <c r="AI227" s="60">
        <v>160</v>
      </c>
      <c r="AK227" s="60">
        <v>0.47899999999999998</v>
      </c>
      <c r="AM227" s="60">
        <v>0.48199999999999998</v>
      </c>
      <c r="AO227" s="60">
        <v>0.48499999999999999</v>
      </c>
      <c r="AQ227" s="60">
        <v>0.48799999999999999</v>
      </c>
      <c r="AS227" s="60">
        <v>0.49099999999999999</v>
      </c>
      <c r="AW227" s="60" t="s">
        <v>3411</v>
      </c>
      <c r="AX227" s="60" t="s">
        <v>3968</v>
      </c>
      <c r="BI227" s="60" t="s">
        <v>1701</v>
      </c>
      <c r="BP227" s="60">
        <v>160</v>
      </c>
      <c r="BQ227" s="60">
        <v>0.32</v>
      </c>
      <c r="BR227" s="60">
        <v>0.33500000000000002</v>
      </c>
      <c r="BS227" s="60">
        <v>0.35</v>
      </c>
      <c r="BT227" s="60">
        <v>0.36499999999999999</v>
      </c>
      <c r="BU227" s="60">
        <v>0.38</v>
      </c>
      <c r="BW227" s="60" t="s">
        <v>3411</v>
      </c>
      <c r="BX227" s="60" t="s">
        <v>3968</v>
      </c>
      <c r="CI227" s="60" t="s">
        <v>225</v>
      </c>
      <c r="CP227" s="60">
        <v>160</v>
      </c>
      <c r="CQ227" s="60">
        <v>0.27550000000000002</v>
      </c>
      <c r="CR227" s="60">
        <v>0.28875000000000001</v>
      </c>
      <c r="CS227" s="60">
        <v>0.30199999999999999</v>
      </c>
      <c r="CT227" s="60">
        <v>0.31525000000000003</v>
      </c>
      <c r="CU227" s="60">
        <v>0.32850000000000001</v>
      </c>
      <c r="CW227" s="60" t="s">
        <v>3411</v>
      </c>
      <c r="CX227" s="60" t="s">
        <v>3968</v>
      </c>
      <c r="DI227" s="60" t="s">
        <v>2790</v>
      </c>
      <c r="DP227" s="60">
        <v>160</v>
      </c>
      <c r="DQ227" s="60">
        <v>0.23100000000000001</v>
      </c>
      <c r="DR227" s="60">
        <v>0.24249999999999999</v>
      </c>
      <c r="DS227" s="60">
        <v>0.254</v>
      </c>
      <c r="DT227" s="60">
        <v>0.26550000000000001</v>
      </c>
      <c r="DU227" s="60">
        <v>0.27700000000000002</v>
      </c>
      <c r="DW227" s="60" t="s">
        <v>3411</v>
      </c>
      <c r="DX227" s="60" t="s">
        <v>3968</v>
      </c>
    </row>
    <row r="228" spans="2:130" x14ac:dyDescent="0.2">
      <c r="P228" s="60" t="e">
        <f t="shared" si="148"/>
        <v>#DIV/0!</v>
      </c>
      <c r="S228" s="60" t="e">
        <f>IF($A$214=1,AZ228,IF($A$214=2,BZ228,IF($A$214=3,CZ228,IF($A$214=4,DZ228))))</f>
        <v>#DIV/0!</v>
      </c>
      <c r="AI228" s="60" t="s">
        <v>1698</v>
      </c>
      <c r="AW228" s="60" t="s">
        <v>3970</v>
      </c>
      <c r="AZ228" s="60">
        <v>0.28162307610791915</v>
      </c>
      <c r="BP228" s="60" t="s">
        <v>1702</v>
      </c>
      <c r="BW228" s="60" t="s">
        <v>3970</v>
      </c>
      <c r="BZ228" s="60">
        <v>0.28403275819356955</v>
      </c>
      <c r="CP228" s="60" t="s">
        <v>226</v>
      </c>
      <c r="CW228" s="60" t="s">
        <v>3970</v>
      </c>
      <c r="CZ228" s="60">
        <v>0.28458253216849705</v>
      </c>
      <c r="DP228" s="60" t="s">
        <v>2791</v>
      </c>
      <c r="DW228" s="60" t="s">
        <v>3970</v>
      </c>
      <c r="DZ228" s="60">
        <v>0.28513230614342455</v>
      </c>
    </row>
    <row r="229" spans="2:130" x14ac:dyDescent="0.2">
      <c r="B229" s="60" t="e">
        <f>IF($A$214=1,AB229,IF($A$214=2,BI229,IF($A$214=3,CI229,IF($A$214=4,DI229))))</f>
        <v>#DIV/0!</v>
      </c>
      <c r="D229" s="60" t="e">
        <f t="shared" ref="D229:G230" si="149">IF($A$214=1,AD229,IF($A$214=2,BK229,IF($A$214=3,CK229,IF($A$214=4,DK229))))</f>
        <v>#DIV/0!</v>
      </c>
      <c r="E229" s="60" t="e">
        <f t="shared" si="149"/>
        <v>#DIV/0!</v>
      </c>
      <c r="F229" s="60" t="e">
        <f t="shared" si="149"/>
        <v>#DIV/0!</v>
      </c>
      <c r="G229" s="60" t="e">
        <f t="shared" si="149"/>
        <v>#DIV/0!</v>
      </c>
      <c r="P229" s="60" t="e">
        <f t="shared" si="148"/>
        <v>#DIV/0!</v>
      </c>
      <c r="S229" s="60" t="e">
        <f>IF($A$214=1,AZ229,IF($A$214=2,BZ229,IF($A$214=3,CZ229,IF($A$214=4,DZ229))))</f>
        <v>#DIV/0!</v>
      </c>
      <c r="AB229" s="60" t="s">
        <v>3971</v>
      </c>
      <c r="AD229" s="60" t="s">
        <v>2699</v>
      </c>
      <c r="AE229" s="60" t="s">
        <v>2701</v>
      </c>
      <c r="AF229" s="60" t="s">
        <v>2703</v>
      </c>
      <c r="AG229" s="60" t="s">
        <v>2705</v>
      </c>
      <c r="AW229" s="60" t="s">
        <v>3972</v>
      </c>
      <c r="AZ229" s="60">
        <v>0.63486898212125364</v>
      </c>
      <c r="BI229" s="60" t="s">
        <v>3971</v>
      </c>
      <c r="BK229" s="60" t="s">
        <v>2699</v>
      </c>
      <c r="BL229" s="60" t="s">
        <v>2701</v>
      </c>
      <c r="BM229" s="60" t="s">
        <v>2703</v>
      </c>
      <c r="BN229" s="60" t="s">
        <v>2705</v>
      </c>
      <c r="BW229" s="60" t="s">
        <v>3972</v>
      </c>
      <c r="BZ229" s="60">
        <v>0.63773862461876851</v>
      </c>
      <c r="CI229" s="60" t="s">
        <v>3971</v>
      </c>
      <c r="CK229" s="60" t="s">
        <v>2699</v>
      </c>
      <c r="CL229" s="60" t="s">
        <v>2701</v>
      </c>
      <c r="CM229" s="60" t="s">
        <v>2703</v>
      </c>
      <c r="CN229" s="60" t="s">
        <v>2705</v>
      </c>
      <c r="CW229" s="60" t="s">
        <v>3972</v>
      </c>
      <c r="CZ229" s="60">
        <v>0.63803042855561276</v>
      </c>
      <c r="DI229" s="60" t="s">
        <v>3971</v>
      </c>
      <c r="DK229" s="60" t="s">
        <v>2699</v>
      </c>
      <c r="DL229" s="60" t="s">
        <v>2701</v>
      </c>
      <c r="DM229" s="60" t="s">
        <v>2703</v>
      </c>
      <c r="DN229" s="60" t="s">
        <v>2705</v>
      </c>
      <c r="DW229" s="60" t="s">
        <v>3972</v>
      </c>
      <c r="DZ229" s="60">
        <v>0.63832223249245701</v>
      </c>
    </row>
    <row r="230" spans="2:130" x14ac:dyDescent="0.2">
      <c r="D230" s="60" t="e">
        <f t="shared" si="149"/>
        <v>#DIV/0!</v>
      </c>
      <c r="E230" s="60" t="e">
        <f t="shared" si="149"/>
        <v>#DIV/0!</v>
      </c>
      <c r="F230" s="60" t="e">
        <f t="shared" si="149"/>
        <v>#DIV/0!</v>
      </c>
      <c r="G230" s="60" t="e">
        <f t="shared" si="149"/>
        <v>#DIV/0!</v>
      </c>
      <c r="I230" s="60" t="e">
        <f>IF($A$214=1,AI230,IF($A$214=2,BP230,IF($A$214=3,CP230,IF($A$214=4,DP230))))</f>
        <v>#DIV/0!</v>
      </c>
      <c r="K230" s="60" t="e">
        <f>IF($A$214=1,AM230,IF($A$214=2,BR230,IF($A$214=3,CR230,IF($A$214=4,DR230))))</f>
        <v>#DIV/0!</v>
      </c>
      <c r="L230" s="60" t="e">
        <f>IF($A$214=1,AO230,IF($A$214=2,BS230,IF($A$214=3,CS230,IF($A$214=4,DS230))))</f>
        <v>#DIV/0!</v>
      </c>
      <c r="M230" s="60" t="e">
        <f>IF($A$214=1,AQ230,IF($A$214=2,BT230,IF($A$214=3,CT230,IF($A$214=4,DT230))))</f>
        <v>#DIV/0!</v>
      </c>
      <c r="N230" s="60" t="e">
        <f>IF($A$214=1,AS230,IF($A$214=2,BU230,IF($A$214=3,CU230,IF($A$214=4,DU230))))</f>
        <v>#DIV/0!</v>
      </c>
      <c r="P230" s="60" t="e">
        <f t="shared" si="148"/>
        <v>#DIV/0!</v>
      </c>
      <c r="S230" s="60" t="e">
        <f>IF($A$214=1,AZ230,IF($A$214=2,BZ230,IF($A$214=3,CZ230,IF($A$214=4,DZ230))))</f>
        <v>#DIV/0!</v>
      </c>
      <c r="AB230" s="60" t="s">
        <v>3973</v>
      </c>
      <c r="AD230" s="60">
        <v>2.1559633027522933</v>
      </c>
      <c r="AE230" s="60">
        <v>1.3486238532110091</v>
      </c>
      <c r="AF230" s="60">
        <v>1</v>
      </c>
      <c r="AG230" s="60">
        <v>0.79816513761467889</v>
      </c>
      <c r="AI230" s="60" t="s">
        <v>3971</v>
      </c>
      <c r="AM230" s="60" t="s">
        <v>2699</v>
      </c>
      <c r="AO230" s="60" t="s">
        <v>2701</v>
      </c>
      <c r="AQ230" s="60" t="s">
        <v>2703</v>
      </c>
      <c r="AS230" s="60" t="s">
        <v>2705</v>
      </c>
      <c r="AW230" s="60" t="s">
        <v>3974</v>
      </c>
      <c r="AZ230" s="60">
        <v>1</v>
      </c>
      <c r="BI230" s="60" t="s">
        <v>3973</v>
      </c>
      <c r="BK230" s="60">
        <v>2.1022727272727275</v>
      </c>
      <c r="BL230" s="60">
        <v>1.3181818181818183</v>
      </c>
      <c r="BM230" s="60">
        <v>1</v>
      </c>
      <c r="BN230" s="60">
        <v>0.82954545454545459</v>
      </c>
      <c r="BP230" s="60" t="s">
        <v>3971</v>
      </c>
      <c r="BR230" s="60" t="s">
        <v>2699</v>
      </c>
      <c r="BS230" s="60" t="s">
        <v>2701</v>
      </c>
      <c r="BT230" s="60" t="s">
        <v>2703</v>
      </c>
      <c r="BU230" s="60" t="s">
        <v>2705</v>
      </c>
      <c r="BW230" s="60" t="s">
        <v>3974</v>
      </c>
      <c r="BZ230" s="60">
        <v>1</v>
      </c>
      <c r="CI230" s="60" t="s">
        <v>3973</v>
      </c>
      <c r="CK230" s="60">
        <v>2.0439935064935066</v>
      </c>
      <c r="CL230" s="60">
        <v>1.301948051948052</v>
      </c>
      <c r="CM230" s="60">
        <v>1</v>
      </c>
      <c r="CN230" s="60">
        <v>0.83620129870129867</v>
      </c>
      <c r="CP230" s="60" t="s">
        <v>3971</v>
      </c>
      <c r="CR230" s="60" t="s">
        <v>2699</v>
      </c>
      <c r="CS230" s="60" t="s">
        <v>2701</v>
      </c>
      <c r="CT230" s="60" t="s">
        <v>2703</v>
      </c>
      <c r="CU230" s="60" t="s">
        <v>2705</v>
      </c>
      <c r="CW230" s="60" t="s">
        <v>3974</v>
      </c>
      <c r="CZ230" s="60">
        <v>1</v>
      </c>
      <c r="DI230" s="60" t="s">
        <v>3973</v>
      </c>
      <c r="DK230" s="60">
        <v>1.9857142857142858</v>
      </c>
      <c r="DL230" s="60">
        <v>1.2857142857142856</v>
      </c>
      <c r="DM230" s="60">
        <v>1</v>
      </c>
      <c r="DN230" s="60">
        <v>0.84285714285714275</v>
      </c>
      <c r="DP230" s="60" t="s">
        <v>3971</v>
      </c>
      <c r="DR230" s="60" t="s">
        <v>2699</v>
      </c>
      <c r="DS230" s="60" t="s">
        <v>2701</v>
      </c>
      <c r="DT230" s="60" t="s">
        <v>2703</v>
      </c>
      <c r="DU230" s="60" t="s">
        <v>2705</v>
      </c>
      <c r="DW230" s="60" t="s">
        <v>3974</v>
      </c>
      <c r="DZ230" s="60">
        <v>1</v>
      </c>
    </row>
    <row r="231" spans="2:130" x14ac:dyDescent="0.2">
      <c r="K231" s="60" t="e">
        <f>IF($A$214=1,AM231,IF($A$214=2,BR231,IF($A$214=3,CR231,IF($A$214=4,DR231))))</f>
        <v>#DIV/0!</v>
      </c>
      <c r="L231" s="60" t="e">
        <f>IF($A$214=1,AO231,IF($A$214=2,BS231,IF($A$214=3,CS231,IF($A$214=4,DS231))))</f>
        <v>#DIV/0!</v>
      </c>
      <c r="M231" s="60" t="e">
        <f>IF($A$214=1,AQ231,IF($A$214=2,BT231,IF($A$214=3,CT231,IF($A$214=4,DT231))))</f>
        <v>#DIV/0!</v>
      </c>
      <c r="N231" s="60" t="e">
        <f>IF($A$214=1,AS231,IF($A$214=2,BU231,IF($A$214=3,CU231,IF($A$214=4,DU231))))</f>
        <v>#DIV/0!</v>
      </c>
      <c r="P231" s="60" t="e">
        <f t="shared" si="148"/>
        <v>#DIV/0!</v>
      </c>
      <c r="S231" s="60" t="e">
        <f>IF($A$214=1,AZ231,IF($A$214=2,BZ231,IF($A$214=3,CZ231,IF($A$214=4,DZ231))))</f>
        <v>#DIV/0!</v>
      </c>
      <c r="AI231" s="60" t="s">
        <v>3975</v>
      </c>
      <c r="AM231" s="60">
        <v>1.8478260869565215</v>
      </c>
      <c r="AO231" s="60">
        <v>1.2521739130434781</v>
      </c>
      <c r="AQ231" s="60">
        <v>1</v>
      </c>
      <c r="AS231" s="60">
        <v>0.86956521739130432</v>
      </c>
      <c r="AW231" s="60" t="s">
        <v>3976</v>
      </c>
      <c r="AZ231" s="60">
        <v>2.1145583897664428</v>
      </c>
      <c r="BP231" s="60" t="s">
        <v>3975</v>
      </c>
      <c r="BR231" s="60">
        <v>1.9797297297297296</v>
      </c>
      <c r="BS231" s="60">
        <v>1.2770270270270272</v>
      </c>
      <c r="BT231" s="60">
        <v>1</v>
      </c>
      <c r="BU231" s="60">
        <v>0.85810810810810811</v>
      </c>
      <c r="BW231" s="60" t="s">
        <v>3976</v>
      </c>
      <c r="BZ231" s="60">
        <v>2.0725390093426421</v>
      </c>
      <c r="CP231" s="60" t="s">
        <v>3975</v>
      </c>
      <c r="CR231" s="60">
        <v>1.9535012285012283</v>
      </c>
      <c r="CS231" s="60">
        <v>1.2703316953316954</v>
      </c>
      <c r="CT231" s="60">
        <v>1</v>
      </c>
      <c r="CU231" s="60">
        <v>0.86087223587223582</v>
      </c>
      <c r="CW231" s="60" t="s">
        <v>3976</v>
      </c>
      <c r="CZ231" s="60">
        <v>2.0601760197010099</v>
      </c>
      <c r="DP231" s="60" t="s">
        <v>3975</v>
      </c>
      <c r="DR231" s="60">
        <v>1.9272727272727272</v>
      </c>
      <c r="DS231" s="60">
        <v>1.2636363636363637</v>
      </c>
      <c r="DT231" s="60">
        <v>1</v>
      </c>
      <c r="DU231" s="60">
        <v>0.86363636363636365</v>
      </c>
      <c r="DW231" s="60" t="s">
        <v>3976</v>
      </c>
      <c r="DZ231" s="60">
        <v>2.0478130300593778</v>
      </c>
    </row>
    <row r="232" spans="2:130" x14ac:dyDescent="0.2">
      <c r="P232" s="60" t="e">
        <f t="shared" si="148"/>
        <v>#DIV/0!</v>
      </c>
      <c r="S232" s="60" t="e">
        <f>IF($A$214=1,AZ232,IF($A$214=2,BZ232,IF($A$214=3,CZ232,IF($A$214=4,DZ232))))</f>
        <v>#DIV/0!</v>
      </c>
      <c r="AW232" s="60" t="s">
        <v>3977</v>
      </c>
      <c r="AZ232" s="60">
        <v>3.3768147436018383</v>
      </c>
      <c r="BW232" s="60" t="s">
        <v>3977</v>
      </c>
      <c r="BZ232" s="60">
        <v>3.238676999944917</v>
      </c>
      <c r="CW232" s="60" t="s">
        <v>3977</v>
      </c>
      <c r="CZ232" s="60">
        <v>3.197586650323788</v>
      </c>
      <c r="DW232" s="60" t="s">
        <v>3977</v>
      </c>
      <c r="DZ232" s="60">
        <v>3.156496300702659</v>
      </c>
    </row>
    <row r="235" spans="2:130" x14ac:dyDescent="0.2">
      <c r="B235" s="60" t="e">
        <f t="shared" ref="B235:B241" si="150">IF($A$214=1,AB235,IF($A$214=2,BI235,IF($A$214=3,CI235,IF($A$214=4,DI235))))</f>
        <v>#DIV/0!</v>
      </c>
      <c r="I235" s="60" t="e">
        <f t="shared" ref="I235:I241" si="151">IF($A$214=1,AI235,IF($A$214=2,BP235,IF($A$214=3,CP235,IF($A$214=4,DP235))))</f>
        <v>#DIV/0!</v>
      </c>
      <c r="AB235" s="60" t="s">
        <v>3978</v>
      </c>
      <c r="AI235" s="60" t="s">
        <v>1667</v>
      </c>
      <c r="AW235" s="60" t="s">
        <v>1668</v>
      </c>
      <c r="BI235" s="60" t="s">
        <v>3978</v>
      </c>
      <c r="BP235" s="60" t="s">
        <v>1667</v>
      </c>
      <c r="BW235" s="60" t="s">
        <v>1668</v>
      </c>
      <c r="CI235" s="60" t="s">
        <v>3978</v>
      </c>
      <c r="CP235" s="60" t="s">
        <v>1667</v>
      </c>
      <c r="CW235" s="60" t="s">
        <v>1668</v>
      </c>
      <c r="DI235" s="60" t="s">
        <v>3978</v>
      </c>
      <c r="DP235" s="60" t="s">
        <v>1667</v>
      </c>
      <c r="DW235" s="60" t="s">
        <v>1668</v>
      </c>
    </row>
    <row r="236" spans="2:130" x14ac:dyDescent="0.2">
      <c r="B236" s="60" t="e">
        <f t="shared" si="150"/>
        <v>#DIV/0!</v>
      </c>
      <c r="C236" s="60" t="e">
        <f t="shared" ref="C236:F241" si="152">IF($A$214=1,AC236,IF($A$214=2,BJ236,IF($A$214=3,CJ236,IF($A$214=4,DJ236))))</f>
        <v>#DIV/0!</v>
      </c>
      <c r="D236" s="60" t="e">
        <f t="shared" si="152"/>
        <v>#DIV/0!</v>
      </c>
      <c r="E236" s="60" t="e">
        <f t="shared" si="152"/>
        <v>#DIV/0!</v>
      </c>
      <c r="F236" s="60" t="e">
        <f t="shared" si="152"/>
        <v>#DIV/0!</v>
      </c>
      <c r="I236" s="60" t="e">
        <f t="shared" si="151"/>
        <v>#DIV/0!</v>
      </c>
      <c r="J236" s="60" t="e">
        <f t="shared" ref="J236:J241" si="153">IF($A$214=1,AK236,IF($A$214=2,BQ236,IF($A$214=3,CQ236,IF($A$214=4,DQ236))))</f>
        <v>#DIV/0!</v>
      </c>
      <c r="K236" s="60" t="e">
        <f t="shared" ref="K236:K241" si="154">IF($A$214=1,AM236,IF($A$214=2,BR236,IF($A$214=3,CR236,IF($A$214=4,DR236))))</f>
        <v>#DIV/0!</v>
      </c>
      <c r="L236" s="60" t="e">
        <f t="shared" ref="L236:L241" si="155">IF($A$214=1,AO236,IF($A$214=2,BS236,IF($A$214=3,CS236,IF($A$214=4,DS236))))</f>
        <v>#DIV/0!</v>
      </c>
      <c r="M236" s="60" t="e">
        <f t="shared" ref="M236:M241" si="156">IF($A$214=1,AQ236,IF($A$214=2,BT236,IF($A$214=3,CT236,IF($A$214=4,DT236))))</f>
        <v>#DIV/0!</v>
      </c>
      <c r="AB236" s="60" t="s">
        <v>3411</v>
      </c>
      <c r="AC236" s="60" t="s">
        <v>2699</v>
      </c>
      <c r="AD236" s="60" t="s">
        <v>2701</v>
      </c>
      <c r="AE236" s="60" t="s">
        <v>2703</v>
      </c>
      <c r="AF236" s="60" t="s">
        <v>2705</v>
      </c>
      <c r="AI236" s="60" t="s">
        <v>3411</v>
      </c>
      <c r="AK236" s="60" t="s">
        <v>2699</v>
      </c>
      <c r="AM236" s="60" t="s">
        <v>2701</v>
      </c>
      <c r="AO236" s="60" t="s">
        <v>2703</v>
      </c>
      <c r="AQ236" s="60" t="s">
        <v>2705</v>
      </c>
      <c r="AW236" s="60" t="s">
        <v>1669</v>
      </c>
      <c r="BI236" s="60" t="s">
        <v>3411</v>
      </c>
      <c r="BJ236" s="60" t="s">
        <v>2699</v>
      </c>
      <c r="BK236" s="60" t="s">
        <v>2701</v>
      </c>
      <c r="BL236" s="60" t="s">
        <v>2703</v>
      </c>
      <c r="BM236" s="60" t="s">
        <v>2705</v>
      </c>
      <c r="BP236" s="60" t="s">
        <v>3411</v>
      </c>
      <c r="BQ236" s="60" t="s">
        <v>2699</v>
      </c>
      <c r="BR236" s="60" t="s">
        <v>2701</v>
      </c>
      <c r="BS236" s="60" t="s">
        <v>2703</v>
      </c>
      <c r="BT236" s="60" t="s">
        <v>2705</v>
      </c>
      <c r="BW236" s="60" t="s">
        <v>1669</v>
      </c>
      <c r="CI236" s="60" t="s">
        <v>3411</v>
      </c>
      <c r="CJ236" s="60" t="s">
        <v>2699</v>
      </c>
      <c r="CK236" s="60" t="s">
        <v>2701</v>
      </c>
      <c r="CL236" s="60" t="s">
        <v>2703</v>
      </c>
      <c r="CM236" s="60" t="s">
        <v>2705</v>
      </c>
      <c r="CP236" s="60" t="s">
        <v>3411</v>
      </c>
      <c r="CQ236" s="60" t="s">
        <v>2699</v>
      </c>
      <c r="CR236" s="60" t="s">
        <v>2701</v>
      </c>
      <c r="CS236" s="60" t="s">
        <v>2703</v>
      </c>
      <c r="CT236" s="60" t="s">
        <v>2705</v>
      </c>
      <c r="CW236" s="60" t="s">
        <v>1669</v>
      </c>
      <c r="DI236" s="60" t="s">
        <v>3411</v>
      </c>
      <c r="DJ236" s="60" t="s">
        <v>2699</v>
      </c>
      <c r="DK236" s="60" t="s">
        <v>2701</v>
      </c>
      <c r="DL236" s="60" t="s">
        <v>2703</v>
      </c>
      <c r="DM236" s="60" t="s">
        <v>2705</v>
      </c>
      <c r="DP236" s="60" t="s">
        <v>3411</v>
      </c>
      <c r="DQ236" s="60" t="s">
        <v>2699</v>
      </c>
      <c r="DR236" s="60" t="s">
        <v>2701</v>
      </c>
      <c r="DS236" s="60" t="s">
        <v>2703</v>
      </c>
      <c r="DT236" s="60" t="s">
        <v>2705</v>
      </c>
      <c r="DW236" s="60" t="s">
        <v>1669</v>
      </c>
    </row>
    <row r="237" spans="2:130" x14ac:dyDescent="0.2">
      <c r="B237" s="60" t="e">
        <f t="shared" si="150"/>
        <v>#DIV/0!</v>
      </c>
      <c r="C237" s="60" t="e">
        <f t="shared" si="152"/>
        <v>#DIV/0!</v>
      </c>
      <c r="D237" s="60" t="e">
        <f t="shared" si="152"/>
        <v>#DIV/0!</v>
      </c>
      <c r="E237" s="60" t="e">
        <f t="shared" si="152"/>
        <v>#DIV/0!</v>
      </c>
      <c r="F237" s="60" t="e">
        <f t="shared" si="152"/>
        <v>#DIV/0!</v>
      </c>
      <c r="I237" s="60" t="e">
        <f t="shared" si="151"/>
        <v>#DIV/0!</v>
      </c>
      <c r="J237" s="60" t="e">
        <f t="shared" si="153"/>
        <v>#DIV/0!</v>
      </c>
      <c r="K237" s="60" t="e">
        <f t="shared" si="154"/>
        <v>#DIV/0!</v>
      </c>
      <c r="L237" s="60" t="e">
        <f t="shared" si="155"/>
        <v>#DIV/0!</v>
      </c>
      <c r="M237" s="60" t="e">
        <f t="shared" si="156"/>
        <v>#DIV/0!</v>
      </c>
      <c r="AB237" s="60" t="s">
        <v>3970</v>
      </c>
      <c r="AC237" s="60">
        <v>0.95345619149947092</v>
      </c>
      <c r="AD237" s="60">
        <v>0.93977258773545513</v>
      </c>
      <c r="AE237" s="60">
        <v>0.92013924872161246</v>
      </c>
      <c r="AF237" s="60">
        <v>0.91196969696969699</v>
      </c>
      <c r="AI237" s="60" t="s">
        <v>3970</v>
      </c>
      <c r="AK237" s="60">
        <v>0.83961722140926209</v>
      </c>
      <c r="AM237" s="60">
        <v>0.77931496395020905</v>
      </c>
      <c r="AO237" s="60">
        <v>0.73371535138643718</v>
      </c>
      <c r="AQ237" s="60">
        <v>0.69994147440659071</v>
      </c>
      <c r="BI237" s="60" t="s">
        <v>3970</v>
      </c>
      <c r="BJ237" s="60">
        <v>0.91922465112357565</v>
      </c>
      <c r="BK237" s="60">
        <v>0.89343943070830389</v>
      </c>
      <c r="BL237" s="60">
        <v>0.85238850210243322</v>
      </c>
      <c r="BM237" s="60">
        <v>0.83312145916425739</v>
      </c>
      <c r="BP237" s="60" t="s">
        <v>3970</v>
      </c>
      <c r="BQ237" s="60">
        <v>0.90381434730529975</v>
      </c>
      <c r="BR237" s="60">
        <v>0.87122027297223936</v>
      </c>
      <c r="BS237" s="60">
        <v>0.82779867880882008</v>
      </c>
      <c r="BT237" s="60">
        <v>0.80842836880769409</v>
      </c>
      <c r="CI237" s="60" t="s">
        <v>3970</v>
      </c>
      <c r="CJ237" s="60">
        <v>0.90761769338951137</v>
      </c>
      <c r="CK237" s="60">
        <v>0.86972943118438062</v>
      </c>
      <c r="CL237" s="60">
        <v>0.83282844701816061</v>
      </c>
      <c r="CM237" s="60">
        <v>0.80376535502204827</v>
      </c>
      <c r="CP237" s="60" t="s">
        <v>3970</v>
      </c>
      <c r="CQ237" s="60">
        <v>0.88739878380595194</v>
      </c>
      <c r="CR237" s="60">
        <v>0.84482824544999424</v>
      </c>
      <c r="CS237" s="60">
        <v>0.80004051631366657</v>
      </c>
      <c r="CT237" s="60">
        <v>0.77248731334076681</v>
      </c>
      <c r="DI237" s="60" t="s">
        <v>3970</v>
      </c>
      <c r="DJ237" s="60">
        <v>0.89601073565544709</v>
      </c>
      <c r="DK237" s="60">
        <v>0.84601943166045723</v>
      </c>
      <c r="DL237" s="60">
        <v>0.81326839193388789</v>
      </c>
      <c r="DM237" s="60">
        <v>0.77440925087983914</v>
      </c>
      <c r="DP237" s="60" t="s">
        <v>3970</v>
      </c>
      <c r="DQ237" s="60">
        <v>0.87098322030660413</v>
      </c>
      <c r="DR237" s="60">
        <v>0.81843621792774912</v>
      </c>
      <c r="DS237" s="60">
        <v>0.77228235381851307</v>
      </c>
      <c r="DT237" s="60">
        <v>0.73654625787383954</v>
      </c>
    </row>
    <row r="238" spans="2:130" x14ac:dyDescent="0.2">
      <c r="B238" s="60" t="e">
        <f t="shared" si="150"/>
        <v>#DIV/0!</v>
      </c>
      <c r="C238" s="60" t="e">
        <f t="shared" si="152"/>
        <v>#DIV/0!</v>
      </c>
      <c r="D238" s="60" t="e">
        <f t="shared" si="152"/>
        <v>#DIV/0!</v>
      </c>
      <c r="E238" s="60" t="e">
        <f t="shared" si="152"/>
        <v>#DIV/0!</v>
      </c>
      <c r="F238" s="60" t="e">
        <f t="shared" si="152"/>
        <v>#DIV/0!</v>
      </c>
      <c r="I238" s="60" t="e">
        <f t="shared" si="151"/>
        <v>#DIV/0!</v>
      </c>
      <c r="J238" s="60" t="e">
        <f t="shared" si="153"/>
        <v>#DIV/0!</v>
      </c>
      <c r="K238" s="60" t="e">
        <f t="shared" si="154"/>
        <v>#DIV/0!</v>
      </c>
      <c r="L238" s="60" t="e">
        <f t="shared" si="155"/>
        <v>#DIV/0!</v>
      </c>
      <c r="M238" s="60" t="e">
        <f t="shared" si="156"/>
        <v>#DIV/0!</v>
      </c>
      <c r="AB238" s="60" t="s">
        <v>3972</v>
      </c>
      <c r="AC238" s="60">
        <v>1.0619855160361105</v>
      </c>
      <c r="AD238" s="60">
        <v>1.0960891799687846</v>
      </c>
      <c r="AE238" s="60">
        <v>1.1172688303735459</v>
      </c>
      <c r="AF238" s="60">
        <v>1.1542171717171719</v>
      </c>
      <c r="AI238" s="60" t="s">
        <v>3972</v>
      </c>
      <c r="AK238" s="60">
        <v>0.92318934230542526</v>
      </c>
      <c r="AM238" s="60">
        <v>0.90040793483320392</v>
      </c>
      <c r="AO238" s="60">
        <v>0.88179267305858855</v>
      </c>
      <c r="AQ238" s="60">
        <v>0.85986053502332571</v>
      </c>
      <c r="AW238" s="60" t="s">
        <v>1670</v>
      </c>
      <c r="BI238" s="60" t="s">
        <v>3972</v>
      </c>
      <c r="BJ238" s="60">
        <v>1.019835007729835</v>
      </c>
      <c r="BK238" s="60">
        <v>1.029928941874197</v>
      </c>
      <c r="BL238" s="60">
        <v>1.0360763440966101</v>
      </c>
      <c r="BM238" s="60">
        <v>1.0534941993969147</v>
      </c>
      <c r="BP238" s="60" t="s">
        <v>3972</v>
      </c>
      <c r="BQ238" s="60">
        <v>0.98902794784023806</v>
      </c>
      <c r="BR238" s="60">
        <v>1.0020019260774669</v>
      </c>
      <c r="BS238" s="60">
        <v>0.97508322169207395</v>
      </c>
      <c r="BT238" s="60">
        <v>0.99145086757861767</v>
      </c>
      <c r="BW238" s="60" t="s">
        <v>1670</v>
      </c>
      <c r="CI238" s="60" t="s">
        <v>3972</v>
      </c>
      <c r="CJ238" s="60">
        <v>1.0063762253032633</v>
      </c>
      <c r="CK238" s="60">
        <v>1.006584019479724</v>
      </c>
      <c r="CL238" s="60">
        <v>1.0102054867353738</v>
      </c>
      <c r="CM238" s="60">
        <v>1.0147896671527894</v>
      </c>
      <c r="CP238" s="60" t="s">
        <v>3972</v>
      </c>
      <c r="CQ238" s="60">
        <v>0.97497631261204332</v>
      </c>
      <c r="CR238" s="60">
        <v>0.97047294434260345</v>
      </c>
      <c r="CS238" s="60">
        <v>0.94516538385965121</v>
      </c>
      <c r="CT238" s="60">
        <v>0.9494191514815935</v>
      </c>
      <c r="CW238" s="60" t="s">
        <v>1670</v>
      </c>
      <c r="DI238" s="60" t="s">
        <v>3972</v>
      </c>
      <c r="DJ238" s="60">
        <v>0.9929174428766917</v>
      </c>
      <c r="DK238" s="60">
        <v>0.98323909708525081</v>
      </c>
      <c r="DL238" s="60">
        <v>0.98433462937413763</v>
      </c>
      <c r="DM238" s="60">
        <v>0.97608513490866422</v>
      </c>
      <c r="DP238" s="60" t="s">
        <v>3972</v>
      </c>
      <c r="DQ238" s="60">
        <v>0.96092467738384857</v>
      </c>
      <c r="DR238" s="60">
        <v>0.93894396260774005</v>
      </c>
      <c r="DS238" s="60">
        <v>0.91524754602722835</v>
      </c>
      <c r="DT238" s="60">
        <v>0.90738743538456945</v>
      </c>
      <c r="DW238" s="60" t="s">
        <v>1670</v>
      </c>
    </row>
    <row r="239" spans="2:130" x14ac:dyDescent="0.2">
      <c r="B239" s="60" t="e">
        <f t="shared" si="150"/>
        <v>#DIV/0!</v>
      </c>
      <c r="C239" s="60" t="e">
        <f t="shared" si="152"/>
        <v>#DIV/0!</v>
      </c>
      <c r="D239" s="60" t="e">
        <f t="shared" si="152"/>
        <v>#DIV/0!</v>
      </c>
      <c r="E239" s="60" t="e">
        <f t="shared" si="152"/>
        <v>#DIV/0!</v>
      </c>
      <c r="F239" s="60" t="e">
        <f t="shared" si="152"/>
        <v>#DIV/0!</v>
      </c>
      <c r="I239" s="60" t="e">
        <f t="shared" si="151"/>
        <v>#DIV/0!</v>
      </c>
      <c r="J239" s="60" t="e">
        <f t="shared" si="153"/>
        <v>#DIV/0!</v>
      </c>
      <c r="K239" s="60" t="e">
        <f t="shared" si="154"/>
        <v>#DIV/0!</v>
      </c>
      <c r="L239" s="60" t="e">
        <f t="shared" si="155"/>
        <v>#DIV/0!</v>
      </c>
      <c r="M239" s="60" t="e">
        <f t="shared" si="156"/>
        <v>#DIV/0!</v>
      </c>
      <c r="AB239" s="60" t="s">
        <v>3974</v>
      </c>
      <c r="AC239" s="60">
        <v>1</v>
      </c>
      <c r="AD239" s="60">
        <v>1</v>
      </c>
      <c r="AE239" s="60">
        <v>1</v>
      </c>
      <c r="AF239" s="60">
        <v>1</v>
      </c>
      <c r="AI239" s="60" t="s">
        <v>3974</v>
      </c>
      <c r="AK239" s="60">
        <v>1</v>
      </c>
      <c r="AM239" s="60">
        <v>1</v>
      </c>
      <c r="AO239" s="60">
        <v>1</v>
      </c>
      <c r="AQ239" s="60">
        <v>1</v>
      </c>
      <c r="AW239" s="60" t="s">
        <v>1671</v>
      </c>
      <c r="BI239" s="60" t="s">
        <v>3974</v>
      </c>
      <c r="BJ239" s="60">
        <v>1</v>
      </c>
      <c r="BK239" s="60">
        <v>1</v>
      </c>
      <c r="BL239" s="60">
        <v>1</v>
      </c>
      <c r="BM239" s="60">
        <v>1</v>
      </c>
      <c r="BP239" s="60" t="s">
        <v>3974</v>
      </c>
      <c r="BQ239" s="60">
        <v>1</v>
      </c>
      <c r="BR239" s="60">
        <v>1</v>
      </c>
      <c r="BS239" s="60">
        <v>1</v>
      </c>
      <c r="BT239" s="60">
        <v>1</v>
      </c>
      <c r="BW239" s="60" t="s">
        <v>1671</v>
      </c>
      <c r="CI239" s="60" t="s">
        <v>3974</v>
      </c>
      <c r="CJ239" s="60">
        <v>1</v>
      </c>
      <c r="CK239" s="60">
        <v>1</v>
      </c>
      <c r="CL239" s="60">
        <v>1</v>
      </c>
      <c r="CM239" s="60">
        <v>1</v>
      </c>
      <c r="CP239" s="60" t="s">
        <v>3974</v>
      </c>
      <c r="CQ239" s="60">
        <v>1</v>
      </c>
      <c r="CR239" s="60">
        <v>1</v>
      </c>
      <c r="CS239" s="60">
        <v>1</v>
      </c>
      <c r="CT239" s="60">
        <v>1</v>
      </c>
      <c r="CW239" s="60" t="s">
        <v>1671</v>
      </c>
      <c r="DI239" s="60" t="s">
        <v>3974</v>
      </c>
      <c r="DJ239" s="60">
        <v>1</v>
      </c>
      <c r="DK239" s="60">
        <v>1</v>
      </c>
      <c r="DL239" s="60">
        <v>1</v>
      </c>
      <c r="DM239" s="60">
        <v>1</v>
      </c>
      <c r="DP239" s="60" t="s">
        <v>3974</v>
      </c>
      <c r="DQ239" s="60">
        <v>1</v>
      </c>
      <c r="DR239" s="60">
        <v>1</v>
      </c>
      <c r="DS239" s="60">
        <v>1</v>
      </c>
      <c r="DT239" s="60">
        <v>1</v>
      </c>
      <c r="DW239" s="60" t="s">
        <v>1671</v>
      </c>
    </row>
    <row r="240" spans="2:130" x14ac:dyDescent="0.2">
      <c r="B240" s="60" t="e">
        <f t="shared" si="150"/>
        <v>#DIV/0!</v>
      </c>
      <c r="C240" s="60" t="e">
        <f t="shared" si="152"/>
        <v>#DIV/0!</v>
      </c>
      <c r="D240" s="60" t="e">
        <f t="shared" si="152"/>
        <v>#DIV/0!</v>
      </c>
      <c r="E240" s="60" t="e">
        <f t="shared" si="152"/>
        <v>#DIV/0!</v>
      </c>
      <c r="F240" s="60" t="e">
        <f t="shared" si="152"/>
        <v>#DIV/0!</v>
      </c>
      <c r="I240" s="60" t="e">
        <f t="shared" si="151"/>
        <v>#DIV/0!</v>
      </c>
      <c r="J240" s="60" t="e">
        <f t="shared" si="153"/>
        <v>#DIV/0!</v>
      </c>
      <c r="K240" s="60" t="e">
        <f t="shared" si="154"/>
        <v>#DIV/0!</v>
      </c>
      <c r="L240" s="60" t="e">
        <f t="shared" si="155"/>
        <v>#DIV/0!</v>
      </c>
      <c r="M240" s="60" t="e">
        <f t="shared" si="156"/>
        <v>#DIV/0!</v>
      </c>
      <c r="AB240" s="60" t="s">
        <v>3976</v>
      </c>
      <c r="AC240" s="60">
        <v>1.2955699225312147</v>
      </c>
      <c r="AD240" s="60">
        <v>1.4514777721519516</v>
      </c>
      <c r="AE240" s="60">
        <v>1.5788037590089028</v>
      </c>
      <c r="AF240" s="60">
        <v>1.6971717171717173</v>
      </c>
      <c r="AI240" s="60" t="s">
        <v>3976</v>
      </c>
      <c r="AK240" s="60">
        <v>1.3435700422694756</v>
      </c>
      <c r="AM240" s="60">
        <v>1.4460673271386262</v>
      </c>
      <c r="AO240" s="60">
        <v>1.535789304519362</v>
      </c>
      <c r="AQ240" s="60">
        <v>1.6129919667594088</v>
      </c>
      <c r="AW240" s="60" t="s">
        <v>1672</v>
      </c>
      <c r="BI240" s="60" t="s">
        <v>3976</v>
      </c>
      <c r="BJ240" s="60">
        <v>1.2589804853085007</v>
      </c>
      <c r="BK240" s="60">
        <v>1.4405353726118479</v>
      </c>
      <c r="BL240" s="60">
        <v>1.5377856995145203</v>
      </c>
      <c r="BM240" s="60">
        <v>1.6459890763954084</v>
      </c>
      <c r="BP240" s="60" t="s">
        <v>3976</v>
      </c>
      <c r="BQ240" s="60">
        <v>1.3516358597984144</v>
      </c>
      <c r="BR240" s="60">
        <v>1.5220868009348454</v>
      </c>
      <c r="BS240" s="60">
        <v>1.6159173336886929</v>
      </c>
      <c r="BT240" s="60">
        <v>1.7230011607506082</v>
      </c>
      <c r="BW240" s="60" t="s">
        <v>1672</v>
      </c>
      <c r="CI240" s="60" t="s">
        <v>3976</v>
      </c>
      <c r="CJ240" s="60">
        <v>1.2653483188799912</v>
      </c>
      <c r="CK240" s="60">
        <v>1.419436361884856</v>
      </c>
      <c r="CL240" s="60">
        <v>1.5201735610467511</v>
      </c>
      <c r="CM240" s="60">
        <v>1.6132660314103737</v>
      </c>
      <c r="CP240" s="60" t="s">
        <v>3976</v>
      </c>
      <c r="CQ240" s="60">
        <v>1.3329373618117879</v>
      </c>
      <c r="CR240" s="60">
        <v>1.4821136991494313</v>
      </c>
      <c r="CS240" s="60">
        <v>1.5730791706842433</v>
      </c>
      <c r="CT240" s="60">
        <v>1.6660989715056234</v>
      </c>
      <c r="CW240" s="60" t="s">
        <v>1672</v>
      </c>
      <c r="DI240" s="60" t="s">
        <v>3976</v>
      </c>
      <c r="DJ240" s="60">
        <v>1.271716152451482</v>
      </c>
      <c r="DK240" s="60">
        <v>1.3983373511578641</v>
      </c>
      <c r="DL240" s="60">
        <v>1.5025614225789816</v>
      </c>
      <c r="DM240" s="60">
        <v>1.5805429864253393</v>
      </c>
      <c r="DP240" s="60" t="s">
        <v>3976</v>
      </c>
      <c r="DQ240" s="60">
        <v>1.3142388638251614</v>
      </c>
      <c r="DR240" s="60">
        <v>1.4421405973640173</v>
      </c>
      <c r="DS240" s="60">
        <v>1.5302410076797937</v>
      </c>
      <c r="DT240" s="60">
        <v>1.6091967822606388</v>
      </c>
      <c r="DW240" s="60" t="s">
        <v>1672</v>
      </c>
    </row>
    <row r="241" spans="2:127" x14ac:dyDescent="0.2">
      <c r="B241" s="60" t="e">
        <f t="shared" si="150"/>
        <v>#DIV/0!</v>
      </c>
      <c r="C241" s="60" t="e">
        <f t="shared" si="152"/>
        <v>#DIV/0!</v>
      </c>
      <c r="D241" s="60" t="e">
        <f t="shared" si="152"/>
        <v>#DIV/0!</v>
      </c>
      <c r="E241" s="60" t="e">
        <f t="shared" si="152"/>
        <v>#DIV/0!</v>
      </c>
      <c r="F241" s="60" t="e">
        <f t="shared" si="152"/>
        <v>#DIV/0!</v>
      </c>
      <c r="I241" s="60" t="e">
        <f t="shared" si="151"/>
        <v>#DIV/0!</v>
      </c>
      <c r="J241" s="60" t="e">
        <f t="shared" si="153"/>
        <v>#DIV/0!</v>
      </c>
      <c r="K241" s="60" t="e">
        <f t="shared" si="154"/>
        <v>#DIV/0!</v>
      </c>
      <c r="L241" s="60" t="e">
        <f t="shared" si="155"/>
        <v>#DIV/0!</v>
      </c>
      <c r="M241" s="60" t="e">
        <f t="shared" si="156"/>
        <v>#DIV/0!</v>
      </c>
      <c r="AB241" s="60" t="s">
        <v>3977</v>
      </c>
      <c r="AC241" s="60">
        <v>1.5759129853857072</v>
      </c>
      <c r="AD241" s="60">
        <v>1.8937420086707391</v>
      </c>
      <c r="AE241" s="60">
        <v>2.1568550096566015</v>
      </c>
      <c r="AF241" s="60">
        <v>2.397272727272727</v>
      </c>
      <c r="AI241" s="60" t="s">
        <v>3977</v>
      </c>
      <c r="AK241" s="60">
        <v>1.7004784383757152</v>
      </c>
      <c r="AM241" s="60">
        <v>1.9340403533321655</v>
      </c>
      <c r="AO241" s="60">
        <v>2.127453480164943</v>
      </c>
      <c r="AQ241" s="60">
        <v>2.2730556123114263</v>
      </c>
      <c r="AW241" s="60" t="s">
        <v>204</v>
      </c>
      <c r="BI241" s="60" t="s">
        <v>3977</v>
      </c>
      <c r="BJ241" s="60">
        <v>1.5413587388488688</v>
      </c>
      <c r="BK241" s="60">
        <v>1.8637235268076917</v>
      </c>
      <c r="BL241" s="60">
        <v>2.0837513581292444</v>
      </c>
      <c r="BM241" s="60">
        <v>2.2934294696474353</v>
      </c>
      <c r="BP241" s="60" t="s">
        <v>3977</v>
      </c>
      <c r="BQ241" s="60">
        <v>1.6696938075567567</v>
      </c>
      <c r="BR241" s="60">
        <v>1.9753311049097046</v>
      </c>
      <c r="BS241" s="60">
        <v>2.1436647560832336</v>
      </c>
      <c r="BT241" s="60">
        <v>2.3550260108661338</v>
      </c>
      <c r="BW241" s="60" t="s">
        <v>204</v>
      </c>
      <c r="CI241" s="60" t="s">
        <v>3977</v>
      </c>
      <c r="CJ241" s="60">
        <v>1.5396710007304222</v>
      </c>
      <c r="CK241" s="60">
        <v>1.8283501847640622</v>
      </c>
      <c r="CL241" s="60">
        <v>2.0456808827381314</v>
      </c>
      <c r="CM241" s="60">
        <v>2.2249952778101427</v>
      </c>
      <c r="CP241" s="60" t="s">
        <v>3977</v>
      </c>
      <c r="CQ241" s="60">
        <v>1.6407686215834087</v>
      </c>
      <c r="CR241" s="60">
        <v>1.9219679485105878</v>
      </c>
      <c r="CS241" s="60">
        <v>2.1074675080782255</v>
      </c>
      <c r="CT241" s="60">
        <v>2.2971665450152567</v>
      </c>
      <c r="CW241" s="60" t="s">
        <v>204</v>
      </c>
      <c r="DI241" s="60" t="s">
        <v>3977</v>
      </c>
      <c r="DJ241" s="60">
        <v>1.5379832626119754</v>
      </c>
      <c r="DK241" s="60">
        <v>1.7929768427204325</v>
      </c>
      <c r="DL241" s="60">
        <v>2.0076104073470185</v>
      </c>
      <c r="DM241" s="60">
        <v>2.1565610859728506</v>
      </c>
      <c r="DP241" s="60" t="s">
        <v>3977</v>
      </c>
      <c r="DQ241" s="60">
        <v>1.6118434356100608</v>
      </c>
      <c r="DR241" s="60">
        <v>1.868604792111471</v>
      </c>
      <c r="DS241" s="60">
        <v>2.0712702600732174</v>
      </c>
      <c r="DT241" s="60">
        <v>2.2393070791643801</v>
      </c>
      <c r="DW241" s="60" t="s">
        <v>204</v>
      </c>
    </row>
    <row r="244" spans="2:127" x14ac:dyDescent="0.2">
      <c r="B244" s="60" t="e">
        <f>IF($A$214=1,AB244,IF($A$214=2,BI244,IF($A$214=3,CI244,IF($A$214=4,DI244))))</f>
        <v>#DIV/0!</v>
      </c>
      <c r="L244" s="60" t="e">
        <f t="shared" ref="L244:L250" si="157">IF($A$214=1,AO244,IF($A$214=2,BS244,IF($A$214=3,CS244,IF($A$214=4,DS244))))</f>
        <v>#DIV/0!</v>
      </c>
      <c r="AB244" s="60" t="s">
        <v>205</v>
      </c>
      <c r="AO244" s="60" t="s">
        <v>206</v>
      </c>
      <c r="BI244" s="60" t="s">
        <v>205</v>
      </c>
      <c r="BS244" s="60" t="s">
        <v>206</v>
      </c>
      <c r="CI244" s="60" t="s">
        <v>205</v>
      </c>
      <c r="CS244" s="60" t="s">
        <v>206</v>
      </c>
      <c r="DI244" s="60" t="s">
        <v>205</v>
      </c>
      <c r="DS244" s="60" t="s">
        <v>206</v>
      </c>
    </row>
    <row r="245" spans="2:127" x14ac:dyDescent="0.2">
      <c r="L245" s="60" t="e">
        <f t="shared" si="157"/>
        <v>#DIV/0!</v>
      </c>
      <c r="M245" s="60" t="e">
        <f t="shared" ref="M245:M250" si="158">IF($A$214=1,AQ245,IF($A$214=2,BT245,IF($A$214=3,CT245,IF($A$214=4,DT245))))</f>
        <v>#DIV/0!</v>
      </c>
      <c r="N245" s="60" t="e">
        <f t="shared" ref="N245:N250" si="159">IF($A$214=1,AS245,IF($A$214=2,BU245,IF($A$214=3,CU245,IF($A$214=4,DU245))))</f>
        <v>#DIV/0!</v>
      </c>
      <c r="AO245" s="60" t="s">
        <v>3411</v>
      </c>
      <c r="AQ245" s="60" t="s">
        <v>207</v>
      </c>
      <c r="AS245" s="60" t="s">
        <v>208</v>
      </c>
      <c r="BS245" s="60" t="s">
        <v>3411</v>
      </c>
      <c r="BT245" s="60" t="s">
        <v>207</v>
      </c>
      <c r="BU245" s="60" t="s">
        <v>208</v>
      </c>
      <c r="CS245" s="60" t="s">
        <v>3411</v>
      </c>
      <c r="CT245" s="60" t="s">
        <v>207</v>
      </c>
      <c r="CU245" s="60" t="s">
        <v>208</v>
      </c>
      <c r="DS245" s="60" t="s">
        <v>3411</v>
      </c>
      <c r="DT245" s="60" t="s">
        <v>207</v>
      </c>
      <c r="DU245" s="60" t="s">
        <v>208</v>
      </c>
    </row>
    <row r="246" spans="2:127" x14ac:dyDescent="0.2">
      <c r="B246" s="60" t="e">
        <f>IF($A$214=1,AB246,IF($A$214=2,BI246,IF($A$214=3,CI246,IF($A$214=4,DI246))))</f>
        <v>#DIV/0!</v>
      </c>
      <c r="L246" s="60" t="e">
        <f t="shared" si="157"/>
        <v>#DIV/0!</v>
      </c>
      <c r="M246" s="60" t="e">
        <f t="shared" si="158"/>
        <v>#DIV/0!</v>
      </c>
      <c r="N246" s="60" t="e">
        <f t="shared" si="159"/>
        <v>#DIV/0!</v>
      </c>
      <c r="AB246" s="60" t="s">
        <v>209</v>
      </c>
      <c r="AO246" s="60" t="s">
        <v>3970</v>
      </c>
      <c r="AQ246" s="60">
        <v>0.66654380900917209</v>
      </c>
      <c r="AS246" s="60">
        <v>0.33345619099082796</v>
      </c>
      <c r="BI246" s="60" t="s">
        <v>209</v>
      </c>
      <c r="BS246" s="60" t="s">
        <v>3970</v>
      </c>
      <c r="BT246" s="60">
        <v>0.65703803359869051</v>
      </c>
      <c r="BU246" s="60">
        <v>0.34296196640130949</v>
      </c>
      <c r="CI246" s="60" t="s">
        <v>209</v>
      </c>
      <c r="CS246" s="60" t="s">
        <v>3970</v>
      </c>
      <c r="CT246" s="60">
        <v>0.66116722792156957</v>
      </c>
      <c r="CU246" s="60">
        <v>0.33883277207843049</v>
      </c>
      <c r="DI246" s="60" t="s">
        <v>209</v>
      </c>
      <c r="DS246" s="60" t="s">
        <v>3970</v>
      </c>
      <c r="DT246" s="60">
        <v>0.66529642224444863</v>
      </c>
      <c r="DU246" s="60">
        <v>0.33470357775555148</v>
      </c>
    </row>
    <row r="247" spans="2:127" x14ac:dyDescent="0.2">
      <c r="B247" s="60">
        <v>3000</v>
      </c>
      <c r="C247" s="60">
        <v>3000</v>
      </c>
      <c r="D247" s="60">
        <v>6000</v>
      </c>
      <c r="E247" s="60">
        <v>6000</v>
      </c>
      <c r="F247" s="60">
        <v>9000</v>
      </c>
      <c r="G247" s="60">
        <v>9000</v>
      </c>
      <c r="H247" s="60">
        <v>12000</v>
      </c>
      <c r="I247" s="60">
        <v>12000</v>
      </c>
      <c r="J247" s="60">
        <v>15000</v>
      </c>
      <c r="K247" s="60">
        <v>15000</v>
      </c>
      <c r="L247" s="60" t="e">
        <f t="shared" si="157"/>
        <v>#DIV/0!</v>
      </c>
      <c r="M247" s="60" t="e">
        <f t="shared" si="158"/>
        <v>#DIV/0!</v>
      </c>
      <c r="N247" s="60" t="e">
        <f t="shared" si="159"/>
        <v>#DIV/0!</v>
      </c>
      <c r="AB247" s="60" t="s">
        <v>210</v>
      </c>
      <c r="AD247" s="60" t="s">
        <v>211</v>
      </c>
      <c r="AF247" s="60" t="s">
        <v>212</v>
      </c>
      <c r="AH247" s="60" t="s">
        <v>213</v>
      </c>
      <c r="AK247" s="60" t="s">
        <v>214</v>
      </c>
      <c r="AO247" s="60" t="s">
        <v>3972</v>
      </c>
      <c r="AQ247" s="60">
        <v>0.63546344887011941</v>
      </c>
      <c r="AS247" s="60">
        <v>0.36453655112988059</v>
      </c>
      <c r="BI247" s="60" t="s">
        <v>210</v>
      </c>
      <c r="BK247" s="60" t="s">
        <v>211</v>
      </c>
      <c r="BM247" s="60" t="s">
        <v>212</v>
      </c>
      <c r="BO247" s="60" t="s">
        <v>213</v>
      </c>
      <c r="BQ247" s="60" t="s">
        <v>214</v>
      </c>
      <c r="BS247" s="60" t="s">
        <v>3972</v>
      </c>
      <c r="BT247" s="60">
        <v>0.62596074031965809</v>
      </c>
      <c r="BU247" s="60">
        <v>0.37403925968034191</v>
      </c>
      <c r="CI247" s="60" t="s">
        <v>210</v>
      </c>
      <c r="CK247" s="60" t="s">
        <v>211</v>
      </c>
      <c r="CM247" s="60" t="s">
        <v>212</v>
      </c>
      <c r="CO247" s="60" t="s">
        <v>213</v>
      </c>
      <c r="CQ247" s="60" t="s">
        <v>214</v>
      </c>
      <c r="CS247" s="60" t="s">
        <v>3972</v>
      </c>
      <c r="CT247" s="60">
        <v>0.63023970494194259</v>
      </c>
      <c r="CU247" s="60">
        <v>0.36976029505805746</v>
      </c>
      <c r="DI247" s="60" t="s">
        <v>210</v>
      </c>
      <c r="DK247" s="60" t="s">
        <v>211</v>
      </c>
      <c r="DM247" s="60" t="s">
        <v>212</v>
      </c>
      <c r="DO247" s="60" t="s">
        <v>213</v>
      </c>
      <c r="DQ247" s="60" t="s">
        <v>214</v>
      </c>
      <c r="DS247" s="60" t="s">
        <v>3972</v>
      </c>
      <c r="DT247" s="60">
        <v>0.63451866956422709</v>
      </c>
      <c r="DU247" s="60">
        <v>0.36548133043577302</v>
      </c>
    </row>
    <row r="248" spans="2:127" x14ac:dyDescent="0.2">
      <c r="B248" s="60" t="s">
        <v>30</v>
      </c>
      <c r="C248" s="60" t="s">
        <v>851</v>
      </c>
      <c r="D248" s="60" t="s">
        <v>30</v>
      </c>
      <c r="E248" s="60" t="s">
        <v>851</v>
      </c>
      <c r="F248" s="60" t="s">
        <v>30</v>
      </c>
      <c r="G248" s="60" t="s">
        <v>851</v>
      </c>
      <c r="H248" s="60" t="s">
        <v>30</v>
      </c>
      <c r="I248" s="60" t="s">
        <v>851</v>
      </c>
      <c r="J248" s="60" t="s">
        <v>30</v>
      </c>
      <c r="K248" s="60" t="s">
        <v>851</v>
      </c>
      <c r="L248" s="60" t="e">
        <f t="shared" si="157"/>
        <v>#DIV/0!</v>
      </c>
      <c r="M248" s="60" t="e">
        <f t="shared" si="158"/>
        <v>#DIV/0!</v>
      </c>
      <c r="N248" s="60" t="e">
        <f t="shared" si="159"/>
        <v>#DIV/0!</v>
      </c>
      <c r="AB248" s="60" t="s">
        <v>30</v>
      </c>
      <c r="AC248" s="60" t="s">
        <v>851</v>
      </c>
      <c r="AD248" s="60" t="s">
        <v>30</v>
      </c>
      <c r="AE248" s="60" t="s">
        <v>851</v>
      </c>
      <c r="AF248" s="60" t="s">
        <v>30</v>
      </c>
      <c r="AG248" s="60" t="s">
        <v>851</v>
      </c>
      <c r="AH248" s="60" t="s">
        <v>30</v>
      </c>
      <c r="AI248" s="60" t="s">
        <v>851</v>
      </c>
      <c r="AK248" s="60" t="s">
        <v>30</v>
      </c>
      <c r="AM248" s="60" t="s">
        <v>851</v>
      </c>
      <c r="AO248" s="60" t="s">
        <v>3974</v>
      </c>
      <c r="AQ248" s="60">
        <v>0.61480966737019727</v>
      </c>
      <c r="AS248" s="60">
        <v>0.38519033262980279</v>
      </c>
      <c r="BI248" s="60" t="s">
        <v>30</v>
      </c>
      <c r="BJ248" s="60" t="s">
        <v>851</v>
      </c>
      <c r="BK248" s="60" t="s">
        <v>30</v>
      </c>
      <c r="BL248" s="60" t="s">
        <v>851</v>
      </c>
      <c r="BM248" s="60" t="s">
        <v>30</v>
      </c>
      <c r="BN248" s="60" t="s">
        <v>851</v>
      </c>
      <c r="BO248" s="60" t="s">
        <v>30</v>
      </c>
      <c r="BP248" s="60" t="s">
        <v>851</v>
      </c>
      <c r="BQ248" s="60" t="s">
        <v>30</v>
      </c>
      <c r="BR248" s="60" t="s">
        <v>851</v>
      </c>
      <c r="BS248" s="60" t="s">
        <v>3974</v>
      </c>
      <c r="BT248" s="60">
        <v>0.60184290401682694</v>
      </c>
      <c r="BU248" s="60">
        <v>0.398157095983173</v>
      </c>
      <c r="CI248" s="60" t="s">
        <v>30</v>
      </c>
      <c r="CJ248" s="60" t="s">
        <v>851</v>
      </c>
      <c r="CK248" s="60" t="s">
        <v>30</v>
      </c>
      <c r="CL248" s="60" t="s">
        <v>851</v>
      </c>
      <c r="CM248" s="60" t="s">
        <v>30</v>
      </c>
      <c r="CN248" s="60" t="s">
        <v>851</v>
      </c>
      <c r="CO248" s="60" t="s">
        <v>30</v>
      </c>
      <c r="CP248" s="60" t="s">
        <v>851</v>
      </c>
      <c r="CQ248" s="60" t="s">
        <v>30</v>
      </c>
      <c r="CR248" s="60" t="s">
        <v>851</v>
      </c>
      <c r="CS248" s="60" t="s">
        <v>3974</v>
      </c>
      <c r="CT248" s="60">
        <v>0.60641204470561294</v>
      </c>
      <c r="CU248" s="60">
        <v>0.39358795529438695</v>
      </c>
      <c r="DI248" s="60" t="s">
        <v>30</v>
      </c>
      <c r="DJ248" s="60" t="s">
        <v>851</v>
      </c>
      <c r="DK248" s="60" t="s">
        <v>30</v>
      </c>
      <c r="DL248" s="60" t="s">
        <v>851</v>
      </c>
      <c r="DM248" s="60" t="s">
        <v>30</v>
      </c>
      <c r="DN248" s="60" t="s">
        <v>851</v>
      </c>
      <c r="DO248" s="60" t="s">
        <v>30</v>
      </c>
      <c r="DP248" s="60" t="s">
        <v>851</v>
      </c>
      <c r="DQ248" s="60" t="s">
        <v>30</v>
      </c>
      <c r="DR248" s="60" t="s">
        <v>851</v>
      </c>
      <c r="DS248" s="60" t="s">
        <v>3974</v>
      </c>
      <c r="DT248" s="60">
        <v>0.61098118539439905</v>
      </c>
      <c r="DU248" s="60">
        <v>0.38901881460560089</v>
      </c>
    </row>
    <row r="249" spans="2:127" x14ac:dyDescent="0.2">
      <c r="B249" s="60" t="e">
        <f t="shared" ref="B249:I249" si="160">IF($A$214=1,AB249,IF($A$214=2,BI249,IF($A$214=3,CI249,IF($A$214=4,DI249))))</f>
        <v>#DIV/0!</v>
      </c>
      <c r="C249" s="60" t="e">
        <f t="shared" si="160"/>
        <v>#DIV/0!</v>
      </c>
      <c r="D249" s="60" t="e">
        <f t="shared" si="160"/>
        <v>#DIV/0!</v>
      </c>
      <c r="E249" s="60" t="e">
        <f t="shared" si="160"/>
        <v>#DIV/0!</v>
      </c>
      <c r="F249" s="60" t="e">
        <f t="shared" si="160"/>
        <v>#DIV/0!</v>
      </c>
      <c r="G249" s="60" t="e">
        <f t="shared" si="160"/>
        <v>#DIV/0!</v>
      </c>
      <c r="H249" s="60" t="e">
        <f t="shared" si="160"/>
        <v>#DIV/0!</v>
      </c>
      <c r="I249" s="60" t="e">
        <f t="shared" si="160"/>
        <v>#DIV/0!</v>
      </c>
      <c r="J249" s="60" t="e">
        <f>IF($A$214=1,AK249,IF($A$214=2,BQ249,IF($A$214=3,CQ249,IF($A$214=4,DQ249))))</f>
        <v>#DIV/0!</v>
      </c>
      <c r="K249" s="60" t="e">
        <f>IF($A$214=1,AM249,IF($A$214=2,BR249,IF($A$214=3,CR249,IF($A$214=4,DR249))))</f>
        <v>#DIV/0!</v>
      </c>
      <c r="L249" s="60" t="e">
        <f t="shared" si="157"/>
        <v>#DIV/0!</v>
      </c>
      <c r="M249" s="60" t="e">
        <f t="shared" si="158"/>
        <v>#DIV/0!</v>
      </c>
      <c r="N249" s="60" t="e">
        <f t="shared" si="159"/>
        <v>#DIV/0!</v>
      </c>
      <c r="AB249" s="60">
        <v>485</v>
      </c>
      <c r="AC249" s="60">
        <v>241</v>
      </c>
      <c r="AD249" s="60">
        <v>1010</v>
      </c>
      <c r="AE249" s="60">
        <v>499</v>
      </c>
      <c r="AF249" s="60">
        <v>1513</v>
      </c>
      <c r="AG249" s="60">
        <v>770</v>
      </c>
      <c r="AH249" s="60">
        <v>2041</v>
      </c>
      <c r="AI249" s="60">
        <v>1048</v>
      </c>
      <c r="AK249" s="60">
        <v>2781</v>
      </c>
      <c r="AM249" s="60">
        <v>1358</v>
      </c>
      <c r="AO249" s="60" t="s">
        <v>3976</v>
      </c>
      <c r="AQ249" s="60">
        <v>0.58622824765268244</v>
      </c>
      <c r="AS249" s="60">
        <v>0.41377175234731756</v>
      </c>
      <c r="BI249" s="60">
        <v>646</v>
      </c>
      <c r="BJ249" s="60">
        <v>339</v>
      </c>
      <c r="BK249" s="60">
        <v>1397</v>
      </c>
      <c r="BL249" s="60">
        <v>699</v>
      </c>
      <c r="BM249" s="60">
        <v>2192</v>
      </c>
      <c r="BN249" s="60">
        <v>1146</v>
      </c>
      <c r="BO249" s="60">
        <v>2958</v>
      </c>
      <c r="BP249" s="60">
        <v>1571</v>
      </c>
      <c r="BQ249" s="60">
        <v>3770</v>
      </c>
      <c r="BR249" s="60">
        <v>2003</v>
      </c>
      <c r="BS249" s="60" t="s">
        <v>3976</v>
      </c>
      <c r="BT249" s="60">
        <v>0.57623662586241697</v>
      </c>
      <c r="BU249" s="60">
        <v>0.42376337413758308</v>
      </c>
      <c r="CI249" s="60">
        <v>788.5</v>
      </c>
      <c r="CJ249" s="60">
        <v>409.5</v>
      </c>
      <c r="CK249" s="60">
        <v>1675.5</v>
      </c>
      <c r="CL249" s="60">
        <v>844</v>
      </c>
      <c r="CM249" s="60">
        <v>2608.5</v>
      </c>
      <c r="CN249" s="60">
        <v>1336.5</v>
      </c>
      <c r="CO249" s="60">
        <v>3589</v>
      </c>
      <c r="CP249" s="60">
        <v>1823.5</v>
      </c>
      <c r="CQ249" s="60">
        <v>4575</v>
      </c>
      <c r="CR249" s="60">
        <v>2339</v>
      </c>
      <c r="CS249" s="60" t="s">
        <v>3976</v>
      </c>
      <c r="CT249" s="60">
        <v>0.58034404659870042</v>
      </c>
      <c r="CU249" s="60">
        <v>0.41965595340129958</v>
      </c>
      <c r="DI249" s="60">
        <v>931</v>
      </c>
      <c r="DJ249" s="60">
        <v>480</v>
      </c>
      <c r="DK249" s="60">
        <v>1954</v>
      </c>
      <c r="DL249" s="60">
        <v>989</v>
      </c>
      <c r="DM249" s="60">
        <v>3025</v>
      </c>
      <c r="DN249" s="60">
        <v>1527</v>
      </c>
      <c r="DO249" s="60">
        <v>4220</v>
      </c>
      <c r="DP249" s="60">
        <v>2076</v>
      </c>
      <c r="DQ249" s="60">
        <v>5380</v>
      </c>
      <c r="DR249" s="60">
        <v>2675</v>
      </c>
      <c r="DS249" s="60" t="s">
        <v>3976</v>
      </c>
      <c r="DT249" s="60">
        <v>0.58445146733498399</v>
      </c>
      <c r="DU249" s="60">
        <v>0.41554853266501601</v>
      </c>
    </row>
    <row r="250" spans="2:127" x14ac:dyDescent="0.2">
      <c r="L250" s="60" t="e">
        <f t="shared" si="157"/>
        <v>#DIV/0!</v>
      </c>
      <c r="M250" s="60" t="e">
        <f t="shared" si="158"/>
        <v>#DIV/0!</v>
      </c>
      <c r="N250" s="60" t="e">
        <f t="shared" si="159"/>
        <v>#DIV/0!</v>
      </c>
      <c r="AB250" s="60" t="s">
        <v>215</v>
      </c>
      <c r="AO250" s="60" t="s">
        <v>3977</v>
      </c>
      <c r="AQ250" s="60">
        <v>0.56580953565204362</v>
      </c>
      <c r="AS250" s="60">
        <v>0.43419046434795644</v>
      </c>
      <c r="BI250" s="60" t="s">
        <v>215</v>
      </c>
      <c r="BS250" s="60" t="s">
        <v>3977</v>
      </c>
      <c r="BT250" s="60">
        <v>0.55630720445264004</v>
      </c>
      <c r="BU250" s="60">
        <v>0.44369279554735996</v>
      </c>
      <c r="CI250" s="60" t="s">
        <v>215</v>
      </c>
      <c r="CS250" s="60" t="s">
        <v>3977</v>
      </c>
      <c r="CT250" s="60">
        <v>0.5610381571159978</v>
      </c>
      <c r="CU250" s="60">
        <v>0.4389618428840022</v>
      </c>
      <c r="DI250" s="60" t="s">
        <v>215</v>
      </c>
      <c r="DS250" s="60" t="s">
        <v>3977</v>
      </c>
      <c r="DT250" s="60">
        <v>0.56576910977935557</v>
      </c>
      <c r="DU250" s="60">
        <v>0.43423089022064437</v>
      </c>
    </row>
    <row r="257" spans="1:132" x14ac:dyDescent="0.2">
      <c r="AB257" s="60" t="s">
        <v>953</v>
      </c>
      <c r="AC257" s="60" t="s">
        <v>234</v>
      </c>
      <c r="BA257" s="60" t="s">
        <v>956</v>
      </c>
      <c r="BI257" s="60" t="s">
        <v>953</v>
      </c>
      <c r="BJ257" s="60" t="s">
        <v>234</v>
      </c>
      <c r="CA257" s="60" t="s">
        <v>956</v>
      </c>
      <c r="CI257" s="60" t="s">
        <v>953</v>
      </c>
      <c r="CJ257" s="60" t="s">
        <v>234</v>
      </c>
      <c r="DA257" s="60" t="s">
        <v>956</v>
      </c>
      <c r="DI257" s="60" t="s">
        <v>953</v>
      </c>
      <c r="DJ257" s="60" t="s">
        <v>234</v>
      </c>
      <c r="EA257" s="60" t="s">
        <v>956</v>
      </c>
    </row>
    <row r="259" spans="1:132" x14ac:dyDescent="0.2">
      <c r="AB259" s="60" t="s">
        <v>4155</v>
      </c>
      <c r="AC259" s="60" t="s">
        <v>4156</v>
      </c>
      <c r="AG259" s="60" t="s">
        <v>4157</v>
      </c>
      <c r="AU259" s="60" t="s">
        <v>910</v>
      </c>
      <c r="BA259" s="60" t="s">
        <v>2792</v>
      </c>
      <c r="BI259" s="60" t="s">
        <v>216</v>
      </c>
      <c r="BJ259" s="60" t="s">
        <v>4156</v>
      </c>
      <c r="BN259" s="60" t="s">
        <v>4157</v>
      </c>
      <c r="BV259" s="60" t="s">
        <v>910</v>
      </c>
      <c r="CA259" s="60" t="s">
        <v>2796</v>
      </c>
      <c r="CI259" s="60" t="s">
        <v>221</v>
      </c>
      <c r="CJ259" s="60" t="s">
        <v>4156</v>
      </c>
      <c r="CN259" s="60" t="s">
        <v>4157</v>
      </c>
      <c r="CV259" s="60" t="s">
        <v>910</v>
      </c>
      <c r="DA259" s="60" t="s">
        <v>2800</v>
      </c>
      <c r="DI259" s="60" t="s">
        <v>228</v>
      </c>
      <c r="DJ259" s="60" t="s">
        <v>4156</v>
      </c>
      <c r="DN259" s="60" t="s">
        <v>4157</v>
      </c>
      <c r="DV259" s="60" t="s">
        <v>910</v>
      </c>
      <c r="EA259" s="60" t="s">
        <v>2801</v>
      </c>
    </row>
    <row r="260" spans="1:132" x14ac:dyDescent="0.2">
      <c r="AC260" s="60" t="s">
        <v>3988</v>
      </c>
      <c r="AU260" s="60" t="s">
        <v>3989</v>
      </c>
      <c r="BJ260" s="60" t="s">
        <v>3988</v>
      </c>
      <c r="BV260" s="60" t="s">
        <v>3989</v>
      </c>
      <c r="CJ260" s="60" t="s">
        <v>3988</v>
      </c>
      <c r="CV260" s="60" t="s">
        <v>3989</v>
      </c>
      <c r="DJ260" s="60" t="s">
        <v>3988</v>
      </c>
      <c r="DV260" s="60" t="s">
        <v>3989</v>
      </c>
    </row>
    <row r="263" spans="1:132" x14ac:dyDescent="0.2">
      <c r="AB263" s="60" t="s">
        <v>3990</v>
      </c>
      <c r="AI263" s="60" t="s">
        <v>3960</v>
      </c>
      <c r="AW263" s="60" t="s">
        <v>3961</v>
      </c>
      <c r="BI263" s="60" t="s">
        <v>3990</v>
      </c>
      <c r="BP263" s="60" t="s">
        <v>3960</v>
      </c>
      <c r="BW263" s="60" t="s">
        <v>3961</v>
      </c>
      <c r="CI263" s="60" t="s">
        <v>3990</v>
      </c>
      <c r="CP263" s="60" t="s">
        <v>3960</v>
      </c>
      <c r="CW263" s="60" t="s">
        <v>3961</v>
      </c>
      <c r="DI263" s="60" t="s">
        <v>3990</v>
      </c>
      <c r="DP263" s="60" t="s">
        <v>3960</v>
      </c>
      <c r="DW263" s="60" t="s">
        <v>3961</v>
      </c>
    </row>
    <row r="264" spans="1:132" x14ac:dyDescent="0.2">
      <c r="A264" s="60" t="e">
        <f>S27</f>
        <v>#DIV/0!</v>
      </c>
      <c r="B264" s="60" t="e">
        <f>IF($A$264=1,BA259,IF($A$264=2,CA259,IF($A$264=3,DA259,IF($A$264=4,EA259))))</f>
        <v>#DIV/0!</v>
      </c>
      <c r="C264" s="60" t="s">
        <v>3896</v>
      </c>
      <c r="AB264" s="60" t="s">
        <v>3962</v>
      </c>
      <c r="AI264" s="60" t="s">
        <v>3962</v>
      </c>
      <c r="AW264" s="60" t="s">
        <v>3962</v>
      </c>
      <c r="BI264" s="60" t="s">
        <v>3962</v>
      </c>
      <c r="BP264" s="60" t="s">
        <v>3962</v>
      </c>
      <c r="BW264" s="60" t="s">
        <v>3962</v>
      </c>
      <c r="CI264" s="60" t="s">
        <v>3962</v>
      </c>
      <c r="CP264" s="60" t="s">
        <v>3962</v>
      </c>
      <c r="CW264" s="60" t="s">
        <v>3962</v>
      </c>
      <c r="DI264" s="60" t="s">
        <v>3962</v>
      </c>
      <c r="DP264" s="60" t="s">
        <v>3962</v>
      </c>
      <c r="DW264" s="60" t="s">
        <v>3962</v>
      </c>
    </row>
    <row r="265" spans="1:132" x14ac:dyDescent="0.2">
      <c r="B265" s="60" t="e">
        <f t="shared" ref="B265:B276" si="161">IF($A$264=1,AB265,IF($A$264=2,BI265,IF($A$264=3,CI265,IF($A$264=4,DI265))))</f>
        <v>#DIV/0!</v>
      </c>
      <c r="C265" s="60" t="e">
        <f t="shared" ref="C265:C276" si="162">IF($A$264=1,AC265,IF($A$264=2,BJ265,IF($A$264=3,CJ265,IF($A$264=4,DJ265))))</f>
        <v>#DIV/0!</v>
      </c>
      <c r="I265" s="60" t="e">
        <f t="shared" ref="I265:I277" si="163">IF($A$264=1,AI265,IF($A$264=2,BP265,IF($A$264=3,CP265,IF($A$264=4,DP265))))</f>
        <v>#DIV/0!</v>
      </c>
      <c r="J265" s="60" t="e">
        <f t="shared" ref="J265:J277" si="164">IF($A$264=1,AK265,IF($A$264=2,BQ265,IF($A$264=3,CQ265,IF($A$264=4,DQ265))))</f>
        <v>#DIV/0!</v>
      </c>
      <c r="P265" s="60" t="e">
        <f t="shared" ref="P265:P273" si="165">IF($A$264=1,AW265,IF($A$264=2,BW265,IF($A$264=3,CW265,IF($A$264=4,DW265))))</f>
        <v>#DIV/0!</v>
      </c>
      <c r="Q265" s="60" t="e">
        <f t="shared" ref="Q265:Q273" si="166">IF($A$264=1,AX265,IF($A$264=2,BX265,IF($A$264=3,CX265,IF($A$264=4,DX265))))</f>
        <v>#DIV/0!</v>
      </c>
      <c r="AB265" s="60" t="s">
        <v>3068</v>
      </c>
      <c r="AC265" s="60" t="s">
        <v>3963</v>
      </c>
      <c r="AI265" s="60" t="s">
        <v>3068</v>
      </c>
      <c r="AK265" s="60" t="s">
        <v>3963</v>
      </c>
      <c r="AW265" s="60" t="s">
        <v>3068</v>
      </c>
      <c r="AX265" s="60" t="s">
        <v>3963</v>
      </c>
      <c r="BI265" s="60" t="s">
        <v>3068</v>
      </c>
      <c r="BJ265" s="60" t="s">
        <v>3963</v>
      </c>
      <c r="BP265" s="60" t="s">
        <v>3068</v>
      </c>
      <c r="BQ265" s="60" t="s">
        <v>3963</v>
      </c>
      <c r="BW265" s="60" t="s">
        <v>3068</v>
      </c>
      <c r="BX265" s="60" t="s">
        <v>3963</v>
      </c>
      <c r="CI265" s="60" t="s">
        <v>3068</v>
      </c>
      <c r="CJ265" s="60" t="s">
        <v>3963</v>
      </c>
      <c r="CP265" s="60" t="s">
        <v>3068</v>
      </c>
      <c r="CQ265" s="60" t="s">
        <v>3963</v>
      </c>
      <c r="CW265" s="60" t="s">
        <v>3068</v>
      </c>
      <c r="CX265" s="60" t="s">
        <v>3963</v>
      </c>
      <c r="DI265" s="60" t="s">
        <v>3068</v>
      </c>
      <c r="DJ265" s="60" t="s">
        <v>3963</v>
      </c>
      <c r="DP265" s="60" t="s">
        <v>3068</v>
      </c>
      <c r="DQ265" s="60" t="s">
        <v>3963</v>
      </c>
      <c r="DW265" s="60" t="s">
        <v>3068</v>
      </c>
      <c r="DX265" s="60" t="s">
        <v>3963</v>
      </c>
    </row>
    <row r="266" spans="1:132" x14ac:dyDescent="0.2">
      <c r="B266" s="60" t="e">
        <f t="shared" si="161"/>
        <v>#DIV/0!</v>
      </c>
      <c r="C266" s="60" t="e">
        <f t="shared" si="162"/>
        <v>#DIV/0!</v>
      </c>
      <c r="D266" s="60" t="e">
        <f t="shared" ref="D266:D276" si="167">IF($A$264=1,AD266,IF($A$264=2,BK266,IF($A$264=3,CK266,IF($A$264=4,DK266))))</f>
        <v>#DIV/0!</v>
      </c>
      <c r="E266" s="60" t="e">
        <f t="shared" ref="E266:E276" si="168">IF($A$264=1,AE266,IF($A$264=2,BL266,IF($A$264=3,CL266,IF($A$264=4,DL266))))</f>
        <v>#DIV/0!</v>
      </c>
      <c r="F266" s="60" t="e">
        <f t="shared" ref="F266:F276" si="169">IF($A$264=1,AF266,IF($A$264=2,BM266,IF($A$264=3,CM266,IF($A$264=4,DM266))))</f>
        <v>#DIV/0!</v>
      </c>
      <c r="G266" s="60" t="e">
        <f t="shared" ref="G266:G276" si="170">IF($A$264=1,AG266,IF($A$264=2,BN266,IF($A$264=3,CN266,IF($A$264=4,DN266))))</f>
        <v>#DIV/0!</v>
      </c>
      <c r="I266" s="60" t="e">
        <f t="shared" si="163"/>
        <v>#DIV/0!</v>
      </c>
      <c r="J266" s="60" t="e">
        <f t="shared" si="164"/>
        <v>#DIV/0!</v>
      </c>
      <c r="K266" s="60" t="e">
        <f t="shared" ref="K266:K277" si="171">IF($A$264=1,AM266,IF($A$264=2,BR266,IF($A$264=3,CR266,IF($A$264=4,DR266))))</f>
        <v>#DIV/0!</v>
      </c>
      <c r="L266" s="60" t="e">
        <f t="shared" ref="L266:L277" si="172">IF($A$264=1,AO266,IF($A$264=2,BS266,IF($A$264=3,CS266,IF($A$264=4,DS266))))</f>
        <v>#DIV/0!</v>
      </c>
      <c r="M266" s="60" t="e">
        <f t="shared" ref="M266:M277" si="173">IF($A$264=1,AQ266,IF($A$264=2,BT266,IF($A$264=3,CT266,IF($A$264=4,DT266))))</f>
        <v>#DIV/0!</v>
      </c>
      <c r="N266" s="60" t="e">
        <f t="shared" ref="N266:N277" si="174">IF($A$264=1,AS266,IF($A$264=2,BU266,IF($A$264=3,CU266,IF($A$264=4,DU266))))</f>
        <v>#DIV/0!</v>
      </c>
      <c r="P266" s="60" t="e">
        <f t="shared" si="165"/>
        <v>#DIV/0!</v>
      </c>
      <c r="Q266" s="60" t="e">
        <f t="shared" si="166"/>
        <v>#DIV/0!</v>
      </c>
      <c r="R266" s="60" t="e">
        <f t="shared" ref="R266:U273" si="175">IF($A$264=1,AY266,IF($A$264=2,BY266,IF($A$264=3,CY266,IF($A$264=4,DY266))))</f>
        <v>#DIV/0!</v>
      </c>
      <c r="S266" s="60" t="e">
        <f t="shared" si="175"/>
        <v>#DIV/0!</v>
      </c>
      <c r="T266" s="60" t="e">
        <f t="shared" si="175"/>
        <v>#DIV/0!</v>
      </c>
      <c r="U266" s="60" t="e">
        <f t="shared" si="175"/>
        <v>#DIV/0!</v>
      </c>
      <c r="AB266" s="60" t="s">
        <v>2760</v>
      </c>
      <c r="AC266" s="60">
        <v>3000</v>
      </c>
      <c r="AD266" s="60">
        <v>6000</v>
      </c>
      <c r="AE266" s="60">
        <v>9000</v>
      </c>
      <c r="AF266" s="60">
        <v>12000</v>
      </c>
      <c r="AG266" s="60">
        <v>15000</v>
      </c>
      <c r="AI266" s="60" t="s">
        <v>2760</v>
      </c>
      <c r="AK266" s="60">
        <v>3000</v>
      </c>
      <c r="AM266" s="60">
        <v>6000</v>
      </c>
      <c r="AO266" s="60">
        <v>9000</v>
      </c>
      <c r="AQ266" s="60">
        <v>12000</v>
      </c>
      <c r="AS266" s="60">
        <v>15000</v>
      </c>
      <c r="AW266" s="60" t="s">
        <v>3964</v>
      </c>
      <c r="AX266" s="60">
        <v>3000</v>
      </c>
      <c r="AY266" s="60">
        <v>6000</v>
      </c>
      <c r="AZ266" s="60">
        <v>9000</v>
      </c>
      <c r="BA266" s="60">
        <v>12000</v>
      </c>
      <c r="BB266" s="60">
        <v>15000</v>
      </c>
      <c r="BI266" s="60" t="s">
        <v>2760</v>
      </c>
      <c r="BJ266" s="60">
        <v>3000</v>
      </c>
      <c r="BK266" s="60">
        <v>6000</v>
      </c>
      <c r="BL266" s="60">
        <v>9000</v>
      </c>
      <c r="BM266" s="60">
        <v>12000</v>
      </c>
      <c r="BN266" s="60">
        <v>15000</v>
      </c>
      <c r="BP266" s="60" t="s">
        <v>2760</v>
      </c>
      <c r="BQ266" s="60">
        <v>3000</v>
      </c>
      <c r="BR266" s="60">
        <v>6000</v>
      </c>
      <c r="BS266" s="60">
        <v>9000</v>
      </c>
      <c r="BT266" s="60">
        <v>12000</v>
      </c>
      <c r="BU266" s="60">
        <v>15000</v>
      </c>
      <c r="BW266" s="60" t="s">
        <v>3964</v>
      </c>
      <c r="BX266" s="60">
        <v>3000</v>
      </c>
      <c r="BY266" s="60">
        <v>6000</v>
      </c>
      <c r="BZ266" s="60">
        <v>9000</v>
      </c>
      <c r="CA266" s="60">
        <v>12000</v>
      </c>
      <c r="CB266" s="60">
        <v>15000</v>
      </c>
      <c r="CI266" s="60" t="s">
        <v>2760</v>
      </c>
      <c r="CJ266" s="60">
        <v>3000</v>
      </c>
      <c r="CK266" s="60">
        <v>6000</v>
      </c>
      <c r="CL266" s="60">
        <v>9000</v>
      </c>
      <c r="CM266" s="60">
        <v>12000</v>
      </c>
      <c r="CN266" s="60">
        <v>15000</v>
      </c>
      <c r="CP266" s="60" t="s">
        <v>2760</v>
      </c>
      <c r="CQ266" s="60">
        <v>3000</v>
      </c>
      <c r="CR266" s="60">
        <v>6000</v>
      </c>
      <c r="CS266" s="60">
        <v>9000</v>
      </c>
      <c r="CT266" s="60">
        <v>12000</v>
      </c>
      <c r="CU266" s="60">
        <v>15000</v>
      </c>
      <c r="CW266" s="60" t="s">
        <v>3964</v>
      </c>
      <c r="CX266" s="60">
        <v>3000</v>
      </c>
      <c r="CY266" s="60">
        <v>6000</v>
      </c>
      <c r="CZ266" s="60">
        <v>9000</v>
      </c>
      <c r="DA266" s="60">
        <v>12000</v>
      </c>
      <c r="DB266" s="60">
        <v>15000</v>
      </c>
      <c r="DI266" s="60" t="s">
        <v>2760</v>
      </c>
      <c r="DJ266" s="60">
        <v>3000</v>
      </c>
      <c r="DK266" s="60">
        <v>6000</v>
      </c>
      <c r="DL266" s="60">
        <v>9000</v>
      </c>
      <c r="DM266" s="60">
        <v>12000</v>
      </c>
      <c r="DN266" s="60">
        <v>15000</v>
      </c>
      <c r="DP266" s="60" t="s">
        <v>2760</v>
      </c>
      <c r="DQ266" s="60">
        <v>3000</v>
      </c>
      <c r="DR266" s="60">
        <v>6000</v>
      </c>
      <c r="DS266" s="60">
        <v>9000</v>
      </c>
      <c r="DT266" s="60">
        <v>12000</v>
      </c>
      <c r="DU266" s="60">
        <v>15000</v>
      </c>
      <c r="DW266" s="60" t="s">
        <v>3964</v>
      </c>
      <c r="DX266" s="60">
        <v>3000</v>
      </c>
      <c r="DY266" s="60">
        <v>6000</v>
      </c>
      <c r="DZ266" s="60">
        <v>9000</v>
      </c>
      <c r="EA266" s="60">
        <v>12000</v>
      </c>
      <c r="EB266" s="60">
        <v>15000</v>
      </c>
    </row>
    <row r="267" spans="1:132" x14ac:dyDescent="0.2">
      <c r="B267" s="60" t="e">
        <f t="shared" si="161"/>
        <v>#DIV/0!</v>
      </c>
      <c r="C267" s="60" t="e">
        <f t="shared" si="162"/>
        <v>#DIV/0!</v>
      </c>
      <c r="D267" s="60" t="e">
        <f t="shared" si="167"/>
        <v>#DIV/0!</v>
      </c>
      <c r="E267" s="60" t="e">
        <f t="shared" si="168"/>
        <v>#DIV/0!</v>
      </c>
      <c r="F267" s="60" t="e">
        <f t="shared" si="169"/>
        <v>#DIV/0!</v>
      </c>
      <c r="G267" s="60" t="e">
        <f t="shared" si="170"/>
        <v>#DIV/0!</v>
      </c>
      <c r="I267" s="60" t="e">
        <f t="shared" si="163"/>
        <v>#DIV/0!</v>
      </c>
      <c r="J267" s="60" t="e">
        <f t="shared" si="164"/>
        <v>#DIV/0!</v>
      </c>
      <c r="K267" s="60" t="e">
        <f t="shared" si="171"/>
        <v>#DIV/0!</v>
      </c>
      <c r="L267" s="60" t="e">
        <f t="shared" si="172"/>
        <v>#DIV/0!</v>
      </c>
      <c r="M267" s="60" t="e">
        <f t="shared" si="173"/>
        <v>#DIV/0!</v>
      </c>
      <c r="N267" s="60" t="e">
        <f t="shared" si="174"/>
        <v>#DIV/0!</v>
      </c>
      <c r="P267" s="60" t="e">
        <f t="shared" si="165"/>
        <v>#DIV/0!</v>
      </c>
      <c r="Q267" s="60" t="e">
        <f t="shared" si="166"/>
        <v>#DIV/0!</v>
      </c>
      <c r="R267" s="60" t="e">
        <f t="shared" si="175"/>
        <v>#DIV/0!</v>
      </c>
      <c r="S267" s="60" t="e">
        <f t="shared" si="175"/>
        <v>#DIV/0!</v>
      </c>
      <c r="T267" s="60" t="e">
        <f t="shared" si="175"/>
        <v>#DIV/0!</v>
      </c>
      <c r="U267" s="60" t="e">
        <f t="shared" si="175"/>
        <v>#DIV/0!</v>
      </c>
      <c r="AB267" s="60">
        <v>-20</v>
      </c>
      <c r="AC267" s="60">
        <v>0.45500000000000002</v>
      </c>
      <c r="AD267" s="60">
        <v>0.47537500000000005</v>
      </c>
      <c r="AE267" s="60">
        <v>0.49575000000000002</v>
      </c>
      <c r="AF267" s="60">
        <v>0.51612500000000006</v>
      </c>
      <c r="AG267" s="60">
        <v>0.53650000000000009</v>
      </c>
      <c r="AI267" s="60">
        <v>60</v>
      </c>
      <c r="AK267" s="60">
        <v>1.6999999999999987E-2</v>
      </c>
      <c r="AM267" s="60">
        <v>1.8749999999999999E-2</v>
      </c>
      <c r="AO267" s="60">
        <v>2.0499999999999987E-2</v>
      </c>
      <c r="AQ267" s="60">
        <v>2.2249999999999985E-2</v>
      </c>
      <c r="AS267" s="60">
        <v>2.3999999999999987E-2</v>
      </c>
      <c r="AW267" s="60">
        <v>10</v>
      </c>
      <c r="AX267" s="60">
        <v>819</v>
      </c>
      <c r="AY267" s="60">
        <v>1632.75</v>
      </c>
      <c r="AZ267" s="60">
        <v>2446.5</v>
      </c>
      <c r="BA267" s="60">
        <v>3260.25</v>
      </c>
      <c r="BB267" s="60">
        <v>4074</v>
      </c>
      <c r="BI267" s="60">
        <v>-20</v>
      </c>
      <c r="BJ267" s="60">
        <v>0.30299999999999999</v>
      </c>
      <c r="BK267" s="60">
        <v>0.3165</v>
      </c>
      <c r="BL267" s="60">
        <v>0.33</v>
      </c>
      <c r="BM267" s="60">
        <v>0.34349999999999997</v>
      </c>
      <c r="BN267" s="60">
        <v>0.35699999999999998</v>
      </c>
      <c r="BP267" s="60">
        <v>60</v>
      </c>
      <c r="BQ267" s="60">
        <v>8.9999999999999768E-3</v>
      </c>
      <c r="BR267" s="60">
        <v>1.0749999999999975E-2</v>
      </c>
      <c r="BS267" s="60">
        <v>1.2500000000000001E-2</v>
      </c>
      <c r="BT267" s="60">
        <v>1.4249999999999969E-2</v>
      </c>
      <c r="BU267" s="60">
        <v>1.5999999999999966E-2</v>
      </c>
      <c r="BW267" s="60">
        <v>10</v>
      </c>
      <c r="BX267" s="60">
        <v>1085</v>
      </c>
      <c r="BY267" s="60">
        <v>2398.75</v>
      </c>
      <c r="BZ267" s="60">
        <v>3712.5</v>
      </c>
      <c r="CA267" s="60">
        <v>5026.25</v>
      </c>
      <c r="CB267" s="60">
        <v>6340</v>
      </c>
      <c r="CI267" s="60">
        <v>-20</v>
      </c>
      <c r="CJ267" s="60">
        <v>0.25674999999999998</v>
      </c>
      <c r="CK267" s="60">
        <v>0.26906249999999998</v>
      </c>
      <c r="CL267" s="60">
        <v>0.28137500000000004</v>
      </c>
      <c r="CM267" s="60">
        <v>0.29368749999999999</v>
      </c>
      <c r="CN267" s="60">
        <v>0.30599999999999999</v>
      </c>
      <c r="CP267" s="60">
        <v>60</v>
      </c>
      <c r="CQ267" s="60">
        <v>7.9999999999999759E-3</v>
      </c>
      <c r="CR267" s="60">
        <v>9.7499999999999757E-3</v>
      </c>
      <c r="CS267" s="60">
        <v>1.1499999999999989E-2</v>
      </c>
      <c r="CT267" s="60">
        <v>1.3249999999999974E-2</v>
      </c>
      <c r="CU267" s="60">
        <v>1.4999999999999999E-2</v>
      </c>
      <c r="CW267" s="60">
        <v>10</v>
      </c>
      <c r="CX267" s="60">
        <v>1276</v>
      </c>
      <c r="CY267" s="60">
        <v>2850.25</v>
      </c>
      <c r="CZ267" s="60">
        <v>4424.5</v>
      </c>
      <c r="DA267" s="60">
        <v>5998.75</v>
      </c>
      <c r="DB267" s="60">
        <v>7573</v>
      </c>
      <c r="DI267" s="60">
        <v>-20</v>
      </c>
      <c r="DJ267" s="60">
        <v>0.21049999999999999</v>
      </c>
      <c r="DK267" s="60">
        <v>0.22162499999999999</v>
      </c>
      <c r="DL267" s="60">
        <v>0.23275000000000001</v>
      </c>
      <c r="DM267" s="60">
        <v>0.24387500000000001</v>
      </c>
      <c r="DN267" s="60">
        <v>0.255</v>
      </c>
      <c r="DP267" s="60">
        <v>60</v>
      </c>
      <c r="DQ267" s="60">
        <v>6.9999999999999767E-3</v>
      </c>
      <c r="DR267" s="60">
        <v>8.7499999999999765E-3</v>
      </c>
      <c r="DS267" s="60">
        <v>1.0499999999999978E-2</v>
      </c>
      <c r="DT267" s="60">
        <v>1.2249999999999978E-2</v>
      </c>
      <c r="DU267" s="60">
        <v>1.3999999999999978E-2</v>
      </c>
      <c r="DW267" s="60">
        <v>10</v>
      </c>
      <c r="DX267" s="60">
        <v>1467</v>
      </c>
      <c r="DY267" s="60">
        <v>3301.75</v>
      </c>
      <c r="DZ267" s="60">
        <v>5136.5</v>
      </c>
      <c r="EA267" s="60">
        <v>6971.25</v>
      </c>
      <c r="EB267" s="60">
        <v>8806</v>
      </c>
    </row>
    <row r="268" spans="1:132" x14ac:dyDescent="0.2">
      <c r="B268" s="60" t="e">
        <f t="shared" si="161"/>
        <v>#DIV/0!</v>
      </c>
      <c r="C268" s="60" t="e">
        <f t="shared" si="162"/>
        <v>#DIV/0!</v>
      </c>
      <c r="D268" s="60" t="e">
        <f t="shared" si="167"/>
        <v>#DIV/0!</v>
      </c>
      <c r="E268" s="60" t="e">
        <f t="shared" si="168"/>
        <v>#DIV/0!</v>
      </c>
      <c r="F268" s="60" t="e">
        <f t="shared" si="169"/>
        <v>#DIV/0!</v>
      </c>
      <c r="G268" s="60" t="e">
        <f t="shared" si="170"/>
        <v>#DIV/0!</v>
      </c>
      <c r="I268" s="60" t="e">
        <f t="shared" si="163"/>
        <v>#DIV/0!</v>
      </c>
      <c r="J268" s="60" t="e">
        <f t="shared" si="164"/>
        <v>#DIV/0!</v>
      </c>
      <c r="K268" s="60" t="e">
        <f t="shared" si="171"/>
        <v>#DIV/0!</v>
      </c>
      <c r="L268" s="60" t="e">
        <f t="shared" si="172"/>
        <v>#DIV/0!</v>
      </c>
      <c r="M268" s="60" t="e">
        <f t="shared" si="173"/>
        <v>#DIV/0!</v>
      </c>
      <c r="N268" s="60" t="e">
        <f t="shared" si="174"/>
        <v>#DIV/0!</v>
      </c>
      <c r="P268" s="60" t="e">
        <f t="shared" si="165"/>
        <v>#DIV/0!</v>
      </c>
      <c r="Q268" s="60" t="e">
        <f t="shared" si="166"/>
        <v>#DIV/0!</v>
      </c>
      <c r="R268" s="60" t="e">
        <f t="shared" si="175"/>
        <v>#DIV/0!</v>
      </c>
      <c r="S268" s="60" t="e">
        <f t="shared" si="175"/>
        <v>#DIV/0!</v>
      </c>
      <c r="T268" s="60" t="e">
        <f t="shared" si="175"/>
        <v>#DIV/0!</v>
      </c>
      <c r="U268" s="60" t="e">
        <f t="shared" si="175"/>
        <v>#DIV/0!</v>
      </c>
      <c r="AB268" s="60">
        <v>-10</v>
      </c>
      <c r="AC268" s="60">
        <v>0.41600000000000004</v>
      </c>
      <c r="AD268" s="60">
        <v>0.4346666666666667</v>
      </c>
      <c r="AE268" s="60">
        <v>0.45333333333333337</v>
      </c>
      <c r="AF268" s="60">
        <v>0.47200000000000003</v>
      </c>
      <c r="AG268" s="60">
        <v>0.4906666666666667</v>
      </c>
      <c r="AI268" s="60">
        <v>70</v>
      </c>
      <c r="AK268" s="60">
        <v>7.729999999999998E-2</v>
      </c>
      <c r="AM268" s="60">
        <v>8.1899999999999987E-2</v>
      </c>
      <c r="AO268" s="60">
        <v>8.649999999999998E-2</v>
      </c>
      <c r="AQ268" s="60">
        <v>9.1099999999999987E-2</v>
      </c>
      <c r="AS268" s="60">
        <v>9.569999999999998E-2</v>
      </c>
      <c r="AW268" s="60">
        <v>20</v>
      </c>
      <c r="AX268" s="60">
        <v>1238.8333333333337</v>
      </c>
      <c r="AY268" s="60">
        <v>2595.5</v>
      </c>
      <c r="AZ268" s="60">
        <v>3952.1666666666679</v>
      </c>
      <c r="BA268" s="60">
        <v>5308.8333333333348</v>
      </c>
      <c r="BB268" s="60">
        <v>6665.5</v>
      </c>
      <c r="BI268" s="60">
        <v>-10</v>
      </c>
      <c r="BJ268" s="60">
        <v>0.27633333333333332</v>
      </c>
      <c r="BK268" s="60">
        <v>0.28866666666666668</v>
      </c>
      <c r="BL268" s="60">
        <v>0.30100000000000005</v>
      </c>
      <c r="BM268" s="60">
        <v>0.31333333333333335</v>
      </c>
      <c r="BN268" s="60">
        <v>0.32566666666666666</v>
      </c>
      <c r="BP268" s="60">
        <v>70</v>
      </c>
      <c r="BQ268" s="60">
        <v>4.5699999999999977E-2</v>
      </c>
      <c r="BR268" s="60">
        <v>4.9874999999999975E-2</v>
      </c>
      <c r="BS268" s="60">
        <v>5.4049999999999966E-2</v>
      </c>
      <c r="BT268" s="60">
        <v>5.8224999999999964E-2</v>
      </c>
      <c r="BU268" s="60">
        <v>6.2399999999999962E-2</v>
      </c>
      <c r="BW268" s="60">
        <v>20</v>
      </c>
      <c r="BX268" s="60">
        <v>1647.5</v>
      </c>
      <c r="BY268" s="60">
        <v>3614.5833333333335</v>
      </c>
      <c r="BZ268" s="60">
        <v>5581.666666666667</v>
      </c>
      <c r="CA268" s="60">
        <v>7548.75</v>
      </c>
      <c r="CB268" s="60">
        <v>9515.8333333333339</v>
      </c>
      <c r="CI268" s="60">
        <v>-10</v>
      </c>
      <c r="CJ268" s="60">
        <v>0.23449999999999999</v>
      </c>
      <c r="CK268" s="60">
        <v>0.24575000000000002</v>
      </c>
      <c r="CL268" s="60">
        <v>0.25700000000000001</v>
      </c>
      <c r="CM268" s="60">
        <v>0.26824999999999999</v>
      </c>
      <c r="CN268" s="60">
        <v>0.27949999999999997</v>
      </c>
      <c r="CP268" s="60">
        <v>70</v>
      </c>
      <c r="CQ268" s="60">
        <v>4.0199999999999972E-2</v>
      </c>
      <c r="CR268" s="60">
        <v>4.3724999999999972E-2</v>
      </c>
      <c r="CS268" s="60">
        <v>4.7249999999999973E-2</v>
      </c>
      <c r="CT268" s="60">
        <v>5.0774999999999973E-2</v>
      </c>
      <c r="CU268" s="60">
        <v>5.4299999999999973E-2</v>
      </c>
      <c r="CW268" s="60">
        <v>20</v>
      </c>
      <c r="CX268" s="60">
        <v>1931</v>
      </c>
      <c r="CY268" s="60">
        <v>4277.6250000000009</v>
      </c>
      <c r="CZ268" s="60">
        <v>6624.25</v>
      </c>
      <c r="DA268" s="60">
        <v>8970.875</v>
      </c>
      <c r="DB268" s="60">
        <v>11317.5</v>
      </c>
      <c r="DI268" s="60">
        <v>-10</v>
      </c>
      <c r="DJ268" s="60">
        <v>0.19266666666666665</v>
      </c>
      <c r="DK268" s="60">
        <v>0.20283333333333334</v>
      </c>
      <c r="DL268" s="60">
        <v>0.21299999999999999</v>
      </c>
      <c r="DM268" s="60">
        <v>0.22316666666666668</v>
      </c>
      <c r="DN268" s="60">
        <v>0.23333333333333334</v>
      </c>
      <c r="DP268" s="60">
        <v>70</v>
      </c>
      <c r="DQ268" s="60">
        <v>3.4699999999999967E-2</v>
      </c>
      <c r="DR268" s="60">
        <v>3.757499999999997E-2</v>
      </c>
      <c r="DS268" s="60">
        <v>4.0449999999999972E-2</v>
      </c>
      <c r="DT268" s="60">
        <v>4.3324999999999975E-2</v>
      </c>
      <c r="DU268" s="60">
        <v>4.6199999999999977E-2</v>
      </c>
      <c r="DW268" s="60">
        <v>20</v>
      </c>
      <c r="DX268" s="60">
        <v>2214.5</v>
      </c>
      <c r="DY268" s="60">
        <v>4940.6666666666679</v>
      </c>
      <c r="DZ268" s="60">
        <v>7666.8333333333358</v>
      </c>
      <c r="EA268" s="60">
        <v>10393</v>
      </c>
      <c r="EB268" s="60">
        <v>13119.166666666672</v>
      </c>
    </row>
    <row r="269" spans="1:132" x14ac:dyDescent="0.2">
      <c r="B269" s="60" t="e">
        <f t="shared" si="161"/>
        <v>#DIV/0!</v>
      </c>
      <c r="C269" s="60" t="e">
        <f t="shared" si="162"/>
        <v>#DIV/0!</v>
      </c>
      <c r="D269" s="60" t="e">
        <f t="shared" si="167"/>
        <v>#DIV/0!</v>
      </c>
      <c r="E269" s="60" t="e">
        <f t="shared" si="168"/>
        <v>#DIV/0!</v>
      </c>
      <c r="F269" s="60" t="e">
        <f t="shared" si="169"/>
        <v>#DIV/0!</v>
      </c>
      <c r="G269" s="60" t="e">
        <f t="shared" si="170"/>
        <v>#DIV/0!</v>
      </c>
      <c r="I269" s="60" t="e">
        <f t="shared" si="163"/>
        <v>#DIV/0!</v>
      </c>
      <c r="J269" s="60" t="e">
        <f t="shared" si="164"/>
        <v>#DIV/0!</v>
      </c>
      <c r="K269" s="60" t="e">
        <f t="shared" si="171"/>
        <v>#DIV/0!</v>
      </c>
      <c r="L269" s="60" t="e">
        <f t="shared" si="172"/>
        <v>#DIV/0!</v>
      </c>
      <c r="M269" s="60" t="e">
        <f t="shared" si="173"/>
        <v>#DIV/0!</v>
      </c>
      <c r="N269" s="60" t="e">
        <f t="shared" si="174"/>
        <v>#DIV/0!</v>
      </c>
      <c r="P269" s="60" t="e">
        <f t="shared" si="165"/>
        <v>#DIV/0!</v>
      </c>
      <c r="Q269" s="60" t="e">
        <f t="shared" si="166"/>
        <v>#DIV/0!</v>
      </c>
      <c r="R269" s="60" t="e">
        <f t="shared" si="175"/>
        <v>#DIV/0!</v>
      </c>
      <c r="S269" s="60" t="e">
        <f t="shared" si="175"/>
        <v>#DIV/0!</v>
      </c>
      <c r="T269" s="60" t="e">
        <f t="shared" si="175"/>
        <v>#DIV/0!</v>
      </c>
      <c r="U269" s="60" t="e">
        <f t="shared" si="175"/>
        <v>#DIV/0!</v>
      </c>
      <c r="AB269" s="60">
        <v>0</v>
      </c>
      <c r="AC269" s="60">
        <v>0.37700000000000006</v>
      </c>
      <c r="AD269" s="60">
        <v>0.39395833333333335</v>
      </c>
      <c r="AE269" s="60">
        <v>0.41091666666666671</v>
      </c>
      <c r="AF269" s="60">
        <v>0.42787500000000006</v>
      </c>
      <c r="AG269" s="60">
        <v>0.44483333333333341</v>
      </c>
      <c r="AI269" s="60">
        <v>80</v>
      </c>
      <c r="AK269" s="60">
        <v>0.1376</v>
      </c>
      <c r="AM269" s="60">
        <v>0.14504999999999998</v>
      </c>
      <c r="AO269" s="60">
        <v>0.1525</v>
      </c>
      <c r="AQ269" s="60">
        <v>0.15994999999999998</v>
      </c>
      <c r="AS269" s="60">
        <v>0.16739999999999999</v>
      </c>
      <c r="AW269" s="60">
        <v>30</v>
      </c>
      <c r="AX269" s="60">
        <v>1658.6666666666674</v>
      </c>
      <c r="AY269" s="60">
        <v>3558.25</v>
      </c>
      <c r="AZ269" s="60">
        <v>5457.8333333333348</v>
      </c>
      <c r="BA269" s="60">
        <v>7357.4166666666688</v>
      </c>
      <c r="BB269" s="60">
        <v>9257</v>
      </c>
      <c r="BI269" s="60">
        <v>0</v>
      </c>
      <c r="BJ269" s="60">
        <v>0.24966666666666665</v>
      </c>
      <c r="BK269" s="60">
        <v>0.26083333333333331</v>
      </c>
      <c r="BL269" s="60">
        <v>0.27200000000000002</v>
      </c>
      <c r="BM269" s="60">
        <v>0.28316666666666668</v>
      </c>
      <c r="BN269" s="60">
        <v>0.29433333333333334</v>
      </c>
      <c r="BP269" s="60">
        <v>80</v>
      </c>
      <c r="BQ269" s="60">
        <v>8.2399999999999973E-2</v>
      </c>
      <c r="BR269" s="60">
        <v>8.8999999999999968E-2</v>
      </c>
      <c r="BS269" s="60">
        <v>9.5599999999999977E-2</v>
      </c>
      <c r="BT269" s="60">
        <v>0.10219999999999997</v>
      </c>
      <c r="BU269" s="60">
        <v>0.10879999999999997</v>
      </c>
      <c r="BW269" s="60">
        <v>30</v>
      </c>
      <c r="BX269" s="60">
        <v>2210</v>
      </c>
      <c r="BY269" s="60">
        <v>4830.4166666666661</v>
      </c>
      <c r="BZ269" s="60">
        <v>7450.833333333333</v>
      </c>
      <c r="CA269" s="60">
        <v>10071.25</v>
      </c>
      <c r="CB269" s="60">
        <v>12691.666666666668</v>
      </c>
      <c r="CI269" s="60">
        <v>0</v>
      </c>
      <c r="CJ269" s="60">
        <v>0.21224999999999999</v>
      </c>
      <c r="CK269" s="60">
        <v>0.22243749999999998</v>
      </c>
      <c r="CL269" s="60">
        <v>0.23262500000000003</v>
      </c>
      <c r="CM269" s="60">
        <v>0.24281249999999999</v>
      </c>
      <c r="CN269" s="60">
        <v>0.253</v>
      </c>
      <c r="CP269" s="60">
        <v>80</v>
      </c>
      <c r="CQ269" s="60">
        <v>7.2399999999999978E-2</v>
      </c>
      <c r="CR269" s="60">
        <v>7.7699999999999977E-2</v>
      </c>
      <c r="CS269" s="60">
        <v>8.299999999999999E-2</v>
      </c>
      <c r="CT269" s="60">
        <v>8.829999999999999E-2</v>
      </c>
      <c r="CU269" s="60">
        <v>9.3599999999999989E-2</v>
      </c>
      <c r="CW269" s="60">
        <v>30</v>
      </c>
      <c r="CX269" s="60">
        <v>2586</v>
      </c>
      <c r="CY269" s="60">
        <v>5705</v>
      </c>
      <c r="CZ269" s="60">
        <v>8824</v>
      </c>
      <c r="DA269" s="60">
        <v>11943</v>
      </c>
      <c r="DB269" s="60">
        <v>15062</v>
      </c>
      <c r="DI269" s="60">
        <v>0</v>
      </c>
      <c r="DJ269" s="60">
        <v>0.17483333333333334</v>
      </c>
      <c r="DK269" s="60">
        <v>0.18404166666666666</v>
      </c>
      <c r="DL269" s="60">
        <v>0.19325000000000001</v>
      </c>
      <c r="DM269" s="60">
        <v>0.20245833333333332</v>
      </c>
      <c r="DN269" s="60">
        <v>0.21166666666666667</v>
      </c>
      <c r="DP269" s="60">
        <v>80</v>
      </c>
      <c r="DQ269" s="60">
        <v>6.2399999999999983E-2</v>
      </c>
      <c r="DR269" s="60">
        <v>6.6399999999999987E-2</v>
      </c>
      <c r="DS269" s="60">
        <v>7.039999999999999E-2</v>
      </c>
      <c r="DT269" s="60">
        <v>7.4399999999999994E-2</v>
      </c>
      <c r="DU269" s="60">
        <v>7.8399999999999997E-2</v>
      </c>
      <c r="DW269" s="60">
        <v>30</v>
      </c>
      <c r="DX269" s="60">
        <v>2962</v>
      </c>
      <c r="DY269" s="60">
        <v>6579.5833333333358</v>
      </c>
      <c r="DZ269" s="60">
        <v>10197.16666666667</v>
      </c>
      <c r="EA269" s="60">
        <v>13814.75</v>
      </c>
      <c r="EB269" s="60">
        <v>17432.333333333339</v>
      </c>
    </row>
    <row r="270" spans="1:132" x14ac:dyDescent="0.2">
      <c r="B270" s="60" t="e">
        <f t="shared" si="161"/>
        <v>#DIV/0!</v>
      </c>
      <c r="C270" s="60" t="e">
        <f t="shared" si="162"/>
        <v>#DIV/0!</v>
      </c>
      <c r="D270" s="60" t="e">
        <f t="shared" si="167"/>
        <v>#DIV/0!</v>
      </c>
      <c r="E270" s="60" t="e">
        <f t="shared" si="168"/>
        <v>#DIV/0!</v>
      </c>
      <c r="F270" s="60" t="e">
        <f t="shared" si="169"/>
        <v>#DIV/0!</v>
      </c>
      <c r="G270" s="60" t="e">
        <f t="shared" si="170"/>
        <v>#DIV/0!</v>
      </c>
      <c r="I270" s="60" t="e">
        <f t="shared" si="163"/>
        <v>#DIV/0!</v>
      </c>
      <c r="J270" s="60" t="e">
        <f t="shared" si="164"/>
        <v>#DIV/0!</v>
      </c>
      <c r="K270" s="60" t="e">
        <f t="shared" si="171"/>
        <v>#DIV/0!</v>
      </c>
      <c r="L270" s="60" t="e">
        <f t="shared" si="172"/>
        <v>#DIV/0!</v>
      </c>
      <c r="M270" s="60" t="e">
        <f t="shared" si="173"/>
        <v>#DIV/0!</v>
      </c>
      <c r="N270" s="60" t="e">
        <f t="shared" si="174"/>
        <v>#DIV/0!</v>
      </c>
      <c r="P270" s="60" t="e">
        <f t="shared" si="165"/>
        <v>#DIV/0!</v>
      </c>
      <c r="Q270" s="60" t="e">
        <f t="shared" si="166"/>
        <v>#DIV/0!</v>
      </c>
      <c r="R270" s="60" t="e">
        <f t="shared" si="175"/>
        <v>#DIV/0!</v>
      </c>
      <c r="S270" s="60" t="e">
        <f t="shared" si="175"/>
        <v>#DIV/0!</v>
      </c>
      <c r="T270" s="60" t="e">
        <f t="shared" si="175"/>
        <v>#DIV/0!</v>
      </c>
      <c r="U270" s="60" t="e">
        <f t="shared" si="175"/>
        <v>#DIV/0!</v>
      </c>
      <c r="AB270" s="60">
        <v>10</v>
      </c>
      <c r="AC270" s="60">
        <v>0.33800000000000002</v>
      </c>
      <c r="AD270" s="60">
        <v>0.35325000000000006</v>
      </c>
      <c r="AE270" s="60">
        <v>0.36850000000000005</v>
      </c>
      <c r="AF270" s="60">
        <v>0.38374999999999998</v>
      </c>
      <c r="AG270" s="60">
        <v>0.39900000000000002</v>
      </c>
      <c r="AI270" s="60">
        <v>90</v>
      </c>
      <c r="AK270" s="60">
        <v>0.19789999999999999</v>
      </c>
      <c r="AM270" s="60">
        <v>0.2082</v>
      </c>
      <c r="AO270" s="60">
        <v>0.2185</v>
      </c>
      <c r="AQ270" s="60">
        <v>0.2288</v>
      </c>
      <c r="AS270" s="60">
        <v>0.23909999999999998</v>
      </c>
      <c r="AW270" s="60">
        <v>40</v>
      </c>
      <c r="AX270" s="60">
        <v>2078.5</v>
      </c>
      <c r="AY270" s="60">
        <v>4521</v>
      </c>
      <c r="AZ270" s="60">
        <v>6963.5</v>
      </c>
      <c r="BA270" s="60">
        <v>9406</v>
      </c>
      <c r="BB270" s="60">
        <v>11848.5</v>
      </c>
      <c r="BI270" s="60">
        <v>10</v>
      </c>
      <c r="BJ270" s="60">
        <v>0.223</v>
      </c>
      <c r="BK270" s="60">
        <v>0.23299999999999998</v>
      </c>
      <c r="BL270" s="60">
        <v>0.24299999999999999</v>
      </c>
      <c r="BM270" s="60">
        <v>0.253</v>
      </c>
      <c r="BN270" s="60">
        <v>0.26300000000000001</v>
      </c>
      <c r="BP270" s="60">
        <v>90</v>
      </c>
      <c r="BQ270" s="60">
        <v>0.11909999999999997</v>
      </c>
      <c r="BR270" s="60">
        <v>0.12812499999999999</v>
      </c>
      <c r="BS270" s="60">
        <v>0.13714999999999997</v>
      </c>
      <c r="BT270" s="60">
        <v>0.14617499999999997</v>
      </c>
      <c r="BU270" s="60">
        <v>0.15519999999999995</v>
      </c>
      <c r="BW270" s="60">
        <v>40</v>
      </c>
      <c r="BX270" s="60">
        <v>2772.5</v>
      </c>
      <c r="BY270" s="60">
        <v>6046.25</v>
      </c>
      <c r="BZ270" s="60">
        <v>9320</v>
      </c>
      <c r="CA270" s="60">
        <v>12593.75</v>
      </c>
      <c r="CB270" s="60">
        <v>15867.5</v>
      </c>
      <c r="CI270" s="60">
        <v>10</v>
      </c>
      <c r="CJ270" s="60">
        <v>0.19</v>
      </c>
      <c r="CK270" s="60">
        <v>0.199125</v>
      </c>
      <c r="CL270" s="60">
        <v>0.20824999999999999</v>
      </c>
      <c r="CM270" s="60">
        <v>0.21737499999999998</v>
      </c>
      <c r="CN270" s="60">
        <v>0.22650000000000001</v>
      </c>
      <c r="CP270" s="60">
        <v>90</v>
      </c>
      <c r="CQ270" s="60">
        <v>0.10459999999999997</v>
      </c>
      <c r="CR270" s="60">
        <v>0.11167499999999998</v>
      </c>
      <c r="CS270" s="60">
        <v>0.11874999999999999</v>
      </c>
      <c r="CT270" s="60">
        <v>0.12582499999999996</v>
      </c>
      <c r="CU270" s="60">
        <v>0.13289999999999996</v>
      </c>
      <c r="CW270" s="60">
        <v>40</v>
      </c>
      <c r="CX270" s="60">
        <v>3241</v>
      </c>
      <c r="CY270" s="60">
        <v>7132.375</v>
      </c>
      <c r="CZ270" s="60">
        <v>11023.75</v>
      </c>
      <c r="DA270" s="60">
        <v>14915.125</v>
      </c>
      <c r="DB270" s="60">
        <v>18806.5</v>
      </c>
      <c r="DI270" s="60">
        <v>10</v>
      </c>
      <c r="DJ270" s="60">
        <v>0.157</v>
      </c>
      <c r="DK270" s="60">
        <v>0.16525000000000001</v>
      </c>
      <c r="DL270" s="60">
        <v>0.17349999999999999</v>
      </c>
      <c r="DM270" s="60">
        <v>0.18174999999999999</v>
      </c>
      <c r="DN270" s="60">
        <v>0.19</v>
      </c>
      <c r="DP270" s="60">
        <v>90</v>
      </c>
      <c r="DQ270" s="60">
        <v>9.0099999999999972E-2</v>
      </c>
      <c r="DR270" s="60">
        <v>9.5224999999999976E-2</v>
      </c>
      <c r="DS270" s="60">
        <v>0.10034999999999998</v>
      </c>
      <c r="DT270" s="60">
        <v>0.10547499999999999</v>
      </c>
      <c r="DU270" s="60">
        <v>0.11059999999999998</v>
      </c>
      <c r="DW270" s="60">
        <v>40</v>
      </c>
      <c r="DX270" s="60">
        <v>3709.5</v>
      </c>
      <c r="DY270" s="60">
        <v>8218.5</v>
      </c>
      <c r="DZ270" s="60">
        <v>12727.5</v>
      </c>
      <c r="EA270" s="60">
        <v>17236.5</v>
      </c>
      <c r="EB270" s="60">
        <v>21745.5</v>
      </c>
    </row>
    <row r="271" spans="1:132" x14ac:dyDescent="0.2">
      <c r="B271" s="60" t="e">
        <f t="shared" si="161"/>
        <v>#DIV/0!</v>
      </c>
      <c r="C271" s="60" t="e">
        <f t="shared" si="162"/>
        <v>#DIV/0!</v>
      </c>
      <c r="D271" s="60" t="e">
        <f t="shared" si="167"/>
        <v>#DIV/0!</v>
      </c>
      <c r="E271" s="60" t="e">
        <f t="shared" si="168"/>
        <v>#DIV/0!</v>
      </c>
      <c r="F271" s="60" t="e">
        <f t="shared" si="169"/>
        <v>#DIV/0!</v>
      </c>
      <c r="G271" s="60" t="e">
        <f t="shared" si="170"/>
        <v>#DIV/0!</v>
      </c>
      <c r="I271" s="60" t="e">
        <f t="shared" si="163"/>
        <v>#DIV/0!</v>
      </c>
      <c r="J271" s="60" t="e">
        <f t="shared" si="164"/>
        <v>#DIV/0!</v>
      </c>
      <c r="K271" s="60" t="e">
        <f t="shared" si="171"/>
        <v>#DIV/0!</v>
      </c>
      <c r="L271" s="60" t="e">
        <f t="shared" si="172"/>
        <v>#DIV/0!</v>
      </c>
      <c r="M271" s="60" t="e">
        <f t="shared" si="173"/>
        <v>#DIV/0!</v>
      </c>
      <c r="N271" s="60" t="e">
        <f t="shared" si="174"/>
        <v>#DIV/0!</v>
      </c>
      <c r="P271" s="60" t="e">
        <f t="shared" si="165"/>
        <v>#DIV/0!</v>
      </c>
      <c r="Q271" s="60" t="e">
        <f t="shared" si="166"/>
        <v>#DIV/0!</v>
      </c>
      <c r="R271" s="60" t="e">
        <f t="shared" si="175"/>
        <v>#DIV/0!</v>
      </c>
      <c r="S271" s="60" t="e">
        <f t="shared" si="175"/>
        <v>#DIV/0!</v>
      </c>
      <c r="T271" s="60" t="e">
        <f t="shared" si="175"/>
        <v>#DIV/0!</v>
      </c>
      <c r="U271" s="60" t="e">
        <f t="shared" si="175"/>
        <v>#DIV/0!</v>
      </c>
      <c r="AB271" s="60">
        <v>20</v>
      </c>
      <c r="AC271" s="60">
        <v>0.29900000000000004</v>
      </c>
      <c r="AD271" s="60">
        <v>0.31254166666666672</v>
      </c>
      <c r="AE271" s="60">
        <v>0.32608333333333339</v>
      </c>
      <c r="AF271" s="60">
        <v>0.33962500000000007</v>
      </c>
      <c r="AG271" s="60">
        <v>0.35316666666666674</v>
      </c>
      <c r="AI271" s="60">
        <v>100</v>
      </c>
      <c r="AK271" s="60">
        <v>0.25819999999999999</v>
      </c>
      <c r="AM271" s="60">
        <v>0.27134999999999998</v>
      </c>
      <c r="AO271" s="60">
        <v>0.28449999999999998</v>
      </c>
      <c r="AQ271" s="60">
        <v>0.29764999999999997</v>
      </c>
      <c r="AS271" s="60">
        <v>0.31079999999999997</v>
      </c>
      <c r="AW271" s="60">
        <v>50</v>
      </c>
      <c r="AX271" s="60">
        <v>2498.3333333333339</v>
      </c>
      <c r="AY271" s="60">
        <v>5483.75</v>
      </c>
      <c r="AZ271" s="60">
        <v>8469.1666666666679</v>
      </c>
      <c r="BA271" s="60">
        <v>11454.583333333334</v>
      </c>
      <c r="BB271" s="60">
        <v>14440</v>
      </c>
      <c r="BI271" s="60">
        <v>20</v>
      </c>
      <c r="BJ271" s="60">
        <v>0.19633333333333333</v>
      </c>
      <c r="BK271" s="60">
        <v>0.20516666666666666</v>
      </c>
      <c r="BL271" s="60">
        <v>0.214</v>
      </c>
      <c r="BM271" s="60">
        <v>0.22283333333333333</v>
      </c>
      <c r="BN271" s="60">
        <v>0.23166666666666669</v>
      </c>
      <c r="BP271" s="60">
        <v>100</v>
      </c>
      <c r="BQ271" s="60">
        <v>0.15579999999999997</v>
      </c>
      <c r="BR271" s="60">
        <v>0.16724999999999995</v>
      </c>
      <c r="BS271" s="60">
        <v>0.17869999999999997</v>
      </c>
      <c r="BT271" s="60">
        <v>0.19014999999999996</v>
      </c>
      <c r="BU271" s="60">
        <v>0.20159999999999995</v>
      </c>
      <c r="BW271" s="60">
        <v>50</v>
      </c>
      <c r="BX271" s="60">
        <v>3335</v>
      </c>
      <c r="BY271" s="60">
        <v>7262.083333333333</v>
      </c>
      <c r="BZ271" s="60">
        <v>11189.166666666666</v>
      </c>
      <c r="CA271" s="60">
        <v>15116.25</v>
      </c>
      <c r="CB271" s="60">
        <v>19043.333333333332</v>
      </c>
      <c r="CI271" s="60">
        <v>20</v>
      </c>
      <c r="CJ271" s="60">
        <v>0.16775000000000001</v>
      </c>
      <c r="CK271" s="60">
        <v>0.17581249999999998</v>
      </c>
      <c r="CL271" s="60">
        <v>0.18387500000000001</v>
      </c>
      <c r="CM271" s="60">
        <v>0.19193749999999998</v>
      </c>
      <c r="CN271" s="60">
        <v>0.2</v>
      </c>
      <c r="CP271" s="60">
        <v>100</v>
      </c>
      <c r="CQ271" s="60">
        <v>0.13679999999999998</v>
      </c>
      <c r="CR271" s="60">
        <v>0.14564999999999997</v>
      </c>
      <c r="CS271" s="60">
        <v>0.15449999999999997</v>
      </c>
      <c r="CT271" s="60">
        <v>0.16335</v>
      </c>
      <c r="CU271" s="60">
        <v>0.17219999999999996</v>
      </c>
      <c r="CW271" s="60">
        <v>50</v>
      </c>
      <c r="CX271" s="60">
        <v>3896</v>
      </c>
      <c r="CY271" s="60">
        <v>8559.75</v>
      </c>
      <c r="CZ271" s="60">
        <v>13223.5</v>
      </c>
      <c r="DA271" s="60">
        <v>17887.25</v>
      </c>
      <c r="DB271" s="60">
        <v>22551</v>
      </c>
      <c r="DI271" s="60">
        <v>20</v>
      </c>
      <c r="DJ271" s="60">
        <v>0.13916666666666666</v>
      </c>
      <c r="DK271" s="60">
        <v>0.14645833333333333</v>
      </c>
      <c r="DL271" s="60">
        <v>0.15375</v>
      </c>
      <c r="DM271" s="60">
        <v>0.16104166666666667</v>
      </c>
      <c r="DN271" s="60">
        <v>0.16833333333333333</v>
      </c>
      <c r="DP271" s="60">
        <v>100</v>
      </c>
      <c r="DQ271" s="60">
        <v>0.11779999999999999</v>
      </c>
      <c r="DR271" s="60">
        <v>0.12404999999999999</v>
      </c>
      <c r="DS271" s="60">
        <v>0.1303</v>
      </c>
      <c r="DT271" s="60">
        <v>0.13655</v>
      </c>
      <c r="DU271" s="60">
        <v>0.14280000000000001</v>
      </c>
      <c r="DW271" s="60">
        <v>50</v>
      </c>
      <c r="DX271" s="60">
        <v>4457</v>
      </c>
      <c r="DY271" s="60">
        <v>9857.4166666666697</v>
      </c>
      <c r="DZ271" s="60">
        <v>15257.833333333336</v>
      </c>
      <c r="EA271" s="60">
        <v>20658.25</v>
      </c>
      <c r="EB271" s="60">
        <v>26058.666666666672</v>
      </c>
    </row>
    <row r="272" spans="1:132" x14ac:dyDescent="0.2">
      <c r="B272" s="60" t="e">
        <f t="shared" si="161"/>
        <v>#DIV/0!</v>
      </c>
      <c r="C272" s="60" t="e">
        <f t="shared" si="162"/>
        <v>#DIV/0!</v>
      </c>
      <c r="D272" s="60" t="e">
        <f t="shared" si="167"/>
        <v>#DIV/0!</v>
      </c>
      <c r="E272" s="60" t="e">
        <f t="shared" si="168"/>
        <v>#DIV/0!</v>
      </c>
      <c r="F272" s="60" t="e">
        <f t="shared" si="169"/>
        <v>#DIV/0!</v>
      </c>
      <c r="G272" s="60" t="e">
        <f t="shared" si="170"/>
        <v>#DIV/0!</v>
      </c>
      <c r="I272" s="60" t="e">
        <f t="shared" si="163"/>
        <v>#DIV/0!</v>
      </c>
      <c r="J272" s="60" t="e">
        <f t="shared" si="164"/>
        <v>#DIV/0!</v>
      </c>
      <c r="K272" s="60" t="e">
        <f t="shared" si="171"/>
        <v>#DIV/0!</v>
      </c>
      <c r="L272" s="60" t="e">
        <f t="shared" si="172"/>
        <v>#DIV/0!</v>
      </c>
      <c r="M272" s="60" t="e">
        <f t="shared" si="173"/>
        <v>#DIV/0!</v>
      </c>
      <c r="N272" s="60" t="e">
        <f t="shared" si="174"/>
        <v>#DIV/0!</v>
      </c>
      <c r="P272" s="60" t="e">
        <f t="shared" si="165"/>
        <v>#DIV/0!</v>
      </c>
      <c r="Q272" s="60" t="e">
        <f t="shared" si="166"/>
        <v>#DIV/0!</v>
      </c>
      <c r="R272" s="60" t="e">
        <f t="shared" si="175"/>
        <v>#DIV/0!</v>
      </c>
      <c r="S272" s="60" t="e">
        <f t="shared" si="175"/>
        <v>#DIV/0!</v>
      </c>
      <c r="T272" s="60" t="e">
        <f t="shared" si="175"/>
        <v>#DIV/0!</v>
      </c>
      <c r="U272" s="60" t="e">
        <f t="shared" si="175"/>
        <v>#DIV/0!</v>
      </c>
      <c r="AB272" s="60">
        <v>30</v>
      </c>
      <c r="AC272" s="60">
        <v>0.26</v>
      </c>
      <c r="AD272" s="60">
        <v>0.27183333333333337</v>
      </c>
      <c r="AE272" s="60">
        <v>0.28366666666666668</v>
      </c>
      <c r="AF272" s="60">
        <v>0.29549999999999998</v>
      </c>
      <c r="AG272" s="60">
        <v>0.30733333333333335</v>
      </c>
      <c r="AI272" s="60">
        <v>110</v>
      </c>
      <c r="AK272" s="60">
        <v>0.31850000000000001</v>
      </c>
      <c r="AM272" s="60">
        <v>0.33449999999999996</v>
      </c>
      <c r="AO272" s="60">
        <v>0.35049999999999998</v>
      </c>
      <c r="AQ272" s="60">
        <v>0.36649999999999999</v>
      </c>
      <c r="AS272" s="60">
        <v>0.38250000000000001</v>
      </c>
      <c r="AW272" s="60">
        <v>60</v>
      </c>
      <c r="AX272" s="60">
        <v>2918.1666666666674</v>
      </c>
      <c r="AY272" s="60">
        <v>6446.5</v>
      </c>
      <c r="AZ272" s="60">
        <v>9974.8333333333358</v>
      </c>
      <c r="BA272" s="60">
        <v>13503.16666666667</v>
      </c>
      <c r="BB272" s="60">
        <v>17031.5</v>
      </c>
      <c r="BI272" s="60">
        <v>30</v>
      </c>
      <c r="BJ272" s="60">
        <v>0.16966666666666663</v>
      </c>
      <c r="BK272" s="60">
        <v>0.17733333333333332</v>
      </c>
      <c r="BL272" s="60">
        <v>0.185</v>
      </c>
      <c r="BM272" s="60">
        <v>0.19266666666666665</v>
      </c>
      <c r="BN272" s="60">
        <v>0.20033333333333331</v>
      </c>
      <c r="BP272" s="60">
        <v>110</v>
      </c>
      <c r="BQ272" s="60">
        <v>0.1925</v>
      </c>
      <c r="BR272" s="60">
        <v>0.20637499999999998</v>
      </c>
      <c r="BS272" s="60">
        <v>0.22024999999999997</v>
      </c>
      <c r="BT272" s="60">
        <v>0.23412499999999997</v>
      </c>
      <c r="BU272" s="60">
        <v>0.24799999999999994</v>
      </c>
      <c r="BW272" s="60">
        <v>60</v>
      </c>
      <c r="BX272" s="60">
        <v>3897.5</v>
      </c>
      <c r="BY272" s="60">
        <v>8477.9166666666679</v>
      </c>
      <c r="BZ272" s="60">
        <v>13058.333333333334</v>
      </c>
      <c r="CA272" s="60">
        <v>17638.75</v>
      </c>
      <c r="CB272" s="60">
        <v>22219.166666666664</v>
      </c>
      <c r="CI272" s="60">
        <v>30</v>
      </c>
      <c r="CJ272" s="60">
        <v>0.14549999999999996</v>
      </c>
      <c r="CK272" s="60">
        <v>0.1525</v>
      </c>
      <c r="CL272" s="60">
        <v>0.15949999999999998</v>
      </c>
      <c r="CM272" s="60">
        <v>0.16649999999999998</v>
      </c>
      <c r="CN272" s="60">
        <v>0.17349999999999999</v>
      </c>
      <c r="CP272" s="60">
        <v>110</v>
      </c>
      <c r="CQ272" s="60">
        <v>0.16899999999999998</v>
      </c>
      <c r="CR272" s="60">
        <v>0.17962499999999998</v>
      </c>
      <c r="CS272" s="60">
        <v>0.19024999999999997</v>
      </c>
      <c r="CT272" s="60">
        <v>0.20087499999999997</v>
      </c>
      <c r="CU272" s="60">
        <v>0.21149999999999997</v>
      </c>
      <c r="CW272" s="60">
        <v>60</v>
      </c>
      <c r="CX272" s="60">
        <v>4551</v>
      </c>
      <c r="CY272" s="60">
        <v>9987.1250000000018</v>
      </c>
      <c r="CZ272" s="60">
        <v>15423.25</v>
      </c>
      <c r="DA272" s="60">
        <v>20859.375</v>
      </c>
      <c r="DB272" s="60">
        <v>26295.5</v>
      </c>
      <c r="DI272" s="60">
        <v>30</v>
      </c>
      <c r="DJ272" s="60">
        <v>0.12133333333333332</v>
      </c>
      <c r="DK272" s="60">
        <v>0.12766666666666665</v>
      </c>
      <c r="DL272" s="60">
        <v>0.13399999999999998</v>
      </c>
      <c r="DM272" s="60">
        <v>0.14033333333333331</v>
      </c>
      <c r="DN272" s="60">
        <v>0.14666666666666667</v>
      </c>
      <c r="DP272" s="60">
        <v>110</v>
      </c>
      <c r="DQ272" s="60">
        <v>0.14549999999999996</v>
      </c>
      <c r="DR272" s="60">
        <v>0.15287499999999996</v>
      </c>
      <c r="DS272" s="60">
        <v>0.16024999999999998</v>
      </c>
      <c r="DT272" s="60">
        <v>0.16762499999999997</v>
      </c>
      <c r="DU272" s="60">
        <v>0.17499999999999999</v>
      </c>
      <c r="DW272" s="60">
        <v>60</v>
      </c>
      <c r="DX272" s="60">
        <v>5204.5</v>
      </c>
      <c r="DY272" s="60">
        <v>11496.333333333336</v>
      </c>
      <c r="DZ272" s="60">
        <v>17788.166666666672</v>
      </c>
      <c r="EA272" s="60">
        <v>24080</v>
      </c>
      <c r="EB272" s="60">
        <v>30371.833333333343</v>
      </c>
    </row>
    <row r="273" spans="2:132" x14ac:dyDescent="0.2">
      <c r="B273" s="60" t="e">
        <f t="shared" si="161"/>
        <v>#DIV/0!</v>
      </c>
      <c r="C273" s="60" t="e">
        <f t="shared" si="162"/>
        <v>#DIV/0!</v>
      </c>
      <c r="D273" s="60" t="e">
        <f t="shared" si="167"/>
        <v>#DIV/0!</v>
      </c>
      <c r="E273" s="60" t="e">
        <f t="shared" si="168"/>
        <v>#DIV/0!</v>
      </c>
      <c r="F273" s="60" t="e">
        <f t="shared" si="169"/>
        <v>#DIV/0!</v>
      </c>
      <c r="G273" s="60" t="e">
        <f t="shared" si="170"/>
        <v>#DIV/0!</v>
      </c>
      <c r="I273" s="60" t="e">
        <f t="shared" si="163"/>
        <v>#DIV/0!</v>
      </c>
      <c r="J273" s="60" t="e">
        <f t="shared" si="164"/>
        <v>#DIV/0!</v>
      </c>
      <c r="K273" s="60" t="e">
        <f t="shared" si="171"/>
        <v>#DIV/0!</v>
      </c>
      <c r="L273" s="60" t="e">
        <f t="shared" si="172"/>
        <v>#DIV/0!</v>
      </c>
      <c r="M273" s="60" t="e">
        <f t="shared" si="173"/>
        <v>#DIV/0!</v>
      </c>
      <c r="N273" s="60" t="e">
        <f t="shared" si="174"/>
        <v>#DIV/0!</v>
      </c>
      <c r="P273" s="60" t="e">
        <f t="shared" si="165"/>
        <v>#DIV/0!</v>
      </c>
      <c r="Q273" s="60" t="e">
        <f t="shared" si="166"/>
        <v>#DIV/0!</v>
      </c>
      <c r="R273" s="60" t="e">
        <f t="shared" si="175"/>
        <v>#DIV/0!</v>
      </c>
      <c r="S273" s="60" t="e">
        <f t="shared" si="175"/>
        <v>#DIV/0!</v>
      </c>
      <c r="T273" s="60" t="e">
        <f t="shared" si="175"/>
        <v>#DIV/0!</v>
      </c>
      <c r="U273" s="60" t="e">
        <f t="shared" si="175"/>
        <v>#DIV/0!</v>
      </c>
      <c r="AB273" s="60">
        <v>40</v>
      </c>
      <c r="AC273" s="60">
        <v>0.221</v>
      </c>
      <c r="AD273" s="60">
        <v>0.23112500000000002</v>
      </c>
      <c r="AE273" s="60">
        <v>0.24124999999999999</v>
      </c>
      <c r="AF273" s="60">
        <v>0.25137500000000002</v>
      </c>
      <c r="AG273" s="60">
        <v>0.26150000000000001</v>
      </c>
      <c r="AI273" s="60">
        <v>120</v>
      </c>
      <c r="AK273" s="60">
        <v>0.37879999999999997</v>
      </c>
      <c r="AM273" s="60">
        <v>0.39765</v>
      </c>
      <c r="AO273" s="60">
        <v>0.41649999999999998</v>
      </c>
      <c r="AQ273" s="60">
        <v>0.43535000000000001</v>
      </c>
      <c r="AS273" s="60">
        <v>0.45419999999999999</v>
      </c>
      <c r="AW273" s="60">
        <v>70</v>
      </c>
      <c r="AX273" s="60">
        <v>3338</v>
      </c>
      <c r="AY273" s="60">
        <v>7409.25</v>
      </c>
      <c r="AZ273" s="60">
        <v>11480.5</v>
      </c>
      <c r="BA273" s="60">
        <v>15551.75</v>
      </c>
      <c r="BB273" s="60">
        <v>19623</v>
      </c>
      <c r="BI273" s="60">
        <v>40</v>
      </c>
      <c r="BJ273" s="60">
        <v>0.14300000000000002</v>
      </c>
      <c r="BK273" s="60">
        <v>0.14950000000000002</v>
      </c>
      <c r="BL273" s="60">
        <v>0.156</v>
      </c>
      <c r="BM273" s="60">
        <v>0.16250000000000001</v>
      </c>
      <c r="BN273" s="60">
        <v>0.16900000000000001</v>
      </c>
      <c r="BP273" s="60">
        <v>120</v>
      </c>
      <c r="BQ273" s="60">
        <v>0.22919999999999996</v>
      </c>
      <c r="BR273" s="60">
        <v>0.24549999999999997</v>
      </c>
      <c r="BS273" s="60">
        <v>0.26179999999999998</v>
      </c>
      <c r="BT273" s="60">
        <v>0.27809999999999996</v>
      </c>
      <c r="BU273" s="60">
        <v>0.29439999999999994</v>
      </c>
      <c r="BW273" s="60">
        <v>70</v>
      </c>
      <c r="BX273" s="60">
        <v>4460</v>
      </c>
      <c r="BY273" s="60">
        <v>9693.75</v>
      </c>
      <c r="BZ273" s="60">
        <v>14927.5</v>
      </c>
      <c r="CA273" s="60">
        <v>20161.25</v>
      </c>
      <c r="CB273" s="60">
        <v>25395</v>
      </c>
      <c r="CI273" s="60">
        <v>40</v>
      </c>
      <c r="CJ273" s="60">
        <v>0.12325</v>
      </c>
      <c r="CK273" s="60">
        <v>0.12918750000000001</v>
      </c>
      <c r="CL273" s="60">
        <v>0.135125</v>
      </c>
      <c r="CM273" s="60">
        <v>0.14106249999999998</v>
      </c>
      <c r="CN273" s="60">
        <v>0.14700000000000002</v>
      </c>
      <c r="CP273" s="60">
        <v>120</v>
      </c>
      <c r="CQ273" s="60">
        <v>0.20119999999999996</v>
      </c>
      <c r="CR273" s="60">
        <v>0.21359999999999996</v>
      </c>
      <c r="CS273" s="60">
        <v>0.22599999999999998</v>
      </c>
      <c r="CT273" s="60">
        <v>0.23839999999999997</v>
      </c>
      <c r="CU273" s="60">
        <v>0.25079999999999997</v>
      </c>
      <c r="CW273" s="60">
        <v>70</v>
      </c>
      <c r="CX273" s="60">
        <v>5206</v>
      </c>
      <c r="CY273" s="60">
        <v>11414.5</v>
      </c>
      <c r="CZ273" s="60">
        <v>17623</v>
      </c>
      <c r="DA273" s="60">
        <v>23831.5</v>
      </c>
      <c r="DB273" s="60">
        <v>30040</v>
      </c>
      <c r="DI273" s="60">
        <v>40</v>
      </c>
      <c r="DJ273" s="60">
        <v>0.10349999999999999</v>
      </c>
      <c r="DK273" s="60">
        <v>0.10887499999999999</v>
      </c>
      <c r="DL273" s="60">
        <v>0.11424999999999999</v>
      </c>
      <c r="DM273" s="60">
        <v>0.11962499999999998</v>
      </c>
      <c r="DN273" s="60">
        <v>0.125</v>
      </c>
      <c r="DP273" s="60">
        <v>120</v>
      </c>
      <c r="DQ273" s="60">
        <v>0.17319999999999997</v>
      </c>
      <c r="DR273" s="60">
        <v>0.18169999999999997</v>
      </c>
      <c r="DS273" s="60">
        <v>0.19019999999999998</v>
      </c>
      <c r="DT273" s="60">
        <v>0.19869999999999999</v>
      </c>
      <c r="DU273" s="60">
        <v>0.2072</v>
      </c>
      <c r="DW273" s="60">
        <v>70</v>
      </c>
      <c r="DX273" s="60">
        <v>5952</v>
      </c>
      <c r="DY273" s="60">
        <v>13135.25</v>
      </c>
      <c r="DZ273" s="60">
        <v>20318.5</v>
      </c>
      <c r="EA273" s="60">
        <v>27501.75</v>
      </c>
      <c r="EB273" s="60">
        <v>34685</v>
      </c>
    </row>
    <row r="274" spans="2:132" x14ac:dyDescent="0.2">
      <c r="B274" s="60" t="e">
        <f t="shared" si="161"/>
        <v>#DIV/0!</v>
      </c>
      <c r="C274" s="60" t="e">
        <f t="shared" si="162"/>
        <v>#DIV/0!</v>
      </c>
      <c r="D274" s="60" t="e">
        <f t="shared" si="167"/>
        <v>#DIV/0!</v>
      </c>
      <c r="E274" s="60" t="e">
        <f t="shared" si="168"/>
        <v>#DIV/0!</v>
      </c>
      <c r="F274" s="60" t="e">
        <f t="shared" si="169"/>
        <v>#DIV/0!</v>
      </c>
      <c r="G274" s="60" t="e">
        <f t="shared" si="170"/>
        <v>#DIV/0!</v>
      </c>
      <c r="I274" s="60" t="e">
        <f t="shared" si="163"/>
        <v>#DIV/0!</v>
      </c>
      <c r="J274" s="60" t="e">
        <f t="shared" si="164"/>
        <v>#DIV/0!</v>
      </c>
      <c r="K274" s="60" t="e">
        <f t="shared" si="171"/>
        <v>#DIV/0!</v>
      </c>
      <c r="L274" s="60" t="e">
        <f t="shared" si="172"/>
        <v>#DIV/0!</v>
      </c>
      <c r="M274" s="60" t="e">
        <f t="shared" si="173"/>
        <v>#DIV/0!</v>
      </c>
      <c r="N274" s="60" t="e">
        <f t="shared" si="174"/>
        <v>#DIV/0!</v>
      </c>
      <c r="AB274" s="60">
        <v>50</v>
      </c>
      <c r="AC274" s="60">
        <v>0.182</v>
      </c>
      <c r="AD274" s="60">
        <v>0.19041666666666668</v>
      </c>
      <c r="AE274" s="60">
        <v>0.19883333333333336</v>
      </c>
      <c r="AF274" s="60">
        <v>0.20725000000000002</v>
      </c>
      <c r="AG274" s="60">
        <v>0.21566666666666667</v>
      </c>
      <c r="AI274" s="60">
        <v>130</v>
      </c>
      <c r="AK274" s="60">
        <v>0.43909999999999999</v>
      </c>
      <c r="AM274" s="60">
        <v>0.46079999999999999</v>
      </c>
      <c r="AO274" s="60">
        <v>0.48249999999999998</v>
      </c>
      <c r="AQ274" s="60">
        <v>0.50419999999999998</v>
      </c>
      <c r="AS274" s="60">
        <v>0.52590000000000003</v>
      </c>
      <c r="AW274" s="60" t="s">
        <v>2793</v>
      </c>
      <c r="BI274" s="60">
        <v>50</v>
      </c>
      <c r="BJ274" s="60">
        <v>0.11633333333333334</v>
      </c>
      <c r="BK274" s="60">
        <v>0.12166666666666669</v>
      </c>
      <c r="BL274" s="60">
        <v>0.127</v>
      </c>
      <c r="BM274" s="60">
        <v>0.13233333333333336</v>
      </c>
      <c r="BN274" s="60">
        <v>0.13766666666666669</v>
      </c>
      <c r="BP274" s="60">
        <v>130</v>
      </c>
      <c r="BQ274" s="60">
        <v>0.26589999999999997</v>
      </c>
      <c r="BR274" s="60">
        <v>0.28462499999999996</v>
      </c>
      <c r="BS274" s="60">
        <v>0.30334999999999995</v>
      </c>
      <c r="BT274" s="60">
        <v>0.32207499999999994</v>
      </c>
      <c r="BU274" s="60">
        <v>0.34079999999999994</v>
      </c>
      <c r="BW274" s="60" t="s">
        <v>2797</v>
      </c>
      <c r="CI274" s="60">
        <v>50</v>
      </c>
      <c r="CJ274" s="60">
        <v>0.10100000000000001</v>
      </c>
      <c r="CK274" s="60">
        <v>0.105875</v>
      </c>
      <c r="CL274" s="60">
        <v>0.11074999999999999</v>
      </c>
      <c r="CM274" s="60">
        <v>0.11562500000000001</v>
      </c>
      <c r="CN274" s="60">
        <v>0.1205</v>
      </c>
      <c r="CP274" s="60">
        <v>130</v>
      </c>
      <c r="CQ274" s="60">
        <v>0.23339999999999997</v>
      </c>
      <c r="CR274" s="60">
        <v>0.24757499999999999</v>
      </c>
      <c r="CS274" s="60">
        <v>0.26174999999999998</v>
      </c>
      <c r="CT274" s="60">
        <v>0.27592499999999998</v>
      </c>
      <c r="CU274" s="60">
        <v>0.29009999999999997</v>
      </c>
      <c r="CW274" s="60" t="s">
        <v>224</v>
      </c>
      <c r="DI274" s="60">
        <v>50</v>
      </c>
      <c r="DJ274" s="60">
        <v>8.5666666666666655E-2</v>
      </c>
      <c r="DK274" s="60">
        <v>9.0083333333333321E-2</v>
      </c>
      <c r="DL274" s="60">
        <v>9.4499999999999987E-2</v>
      </c>
      <c r="DM274" s="60">
        <v>9.8916666666666653E-2</v>
      </c>
      <c r="DN274" s="60">
        <v>0.10333333333333332</v>
      </c>
      <c r="DP274" s="60">
        <v>130</v>
      </c>
      <c r="DQ274" s="60">
        <v>0.20089999999999997</v>
      </c>
      <c r="DR274" s="60">
        <v>0.21052499999999999</v>
      </c>
      <c r="DS274" s="60">
        <v>0.22015000000000001</v>
      </c>
      <c r="DT274" s="60">
        <v>0.22977500000000001</v>
      </c>
      <c r="DU274" s="60">
        <v>0.2394</v>
      </c>
      <c r="DW274" s="60" t="s">
        <v>2802</v>
      </c>
    </row>
    <row r="275" spans="2:132" x14ac:dyDescent="0.2">
      <c r="B275" s="60" t="e">
        <f t="shared" si="161"/>
        <v>#DIV/0!</v>
      </c>
      <c r="C275" s="60" t="e">
        <f t="shared" si="162"/>
        <v>#DIV/0!</v>
      </c>
      <c r="D275" s="60" t="e">
        <f t="shared" si="167"/>
        <v>#DIV/0!</v>
      </c>
      <c r="E275" s="60" t="e">
        <f t="shared" si="168"/>
        <v>#DIV/0!</v>
      </c>
      <c r="F275" s="60" t="e">
        <f t="shared" si="169"/>
        <v>#DIV/0!</v>
      </c>
      <c r="G275" s="60" t="e">
        <f t="shared" si="170"/>
        <v>#DIV/0!</v>
      </c>
      <c r="I275" s="60" t="e">
        <f t="shared" si="163"/>
        <v>#DIV/0!</v>
      </c>
      <c r="J275" s="60" t="e">
        <f t="shared" si="164"/>
        <v>#DIV/0!</v>
      </c>
      <c r="K275" s="60" t="e">
        <f t="shared" si="171"/>
        <v>#DIV/0!</v>
      </c>
      <c r="L275" s="60" t="e">
        <f t="shared" si="172"/>
        <v>#DIV/0!</v>
      </c>
      <c r="M275" s="60" t="e">
        <f t="shared" si="173"/>
        <v>#DIV/0!</v>
      </c>
      <c r="N275" s="60" t="e">
        <f t="shared" si="174"/>
        <v>#DIV/0!</v>
      </c>
      <c r="AB275" s="60">
        <v>60</v>
      </c>
      <c r="AC275" s="60">
        <v>0.14299999999999999</v>
      </c>
      <c r="AD275" s="60">
        <v>0.1497083333333333</v>
      </c>
      <c r="AE275" s="60">
        <v>0.15641666666666665</v>
      </c>
      <c r="AF275" s="60">
        <v>0.16312499999999999</v>
      </c>
      <c r="AG275" s="60">
        <v>0.16983333333333334</v>
      </c>
      <c r="AI275" s="60">
        <v>140</v>
      </c>
      <c r="AK275" s="60">
        <v>0.49940000000000001</v>
      </c>
      <c r="AM275" s="60">
        <v>0.52395000000000003</v>
      </c>
      <c r="AO275" s="60">
        <v>0.54849999999999999</v>
      </c>
      <c r="AQ275" s="60">
        <v>0.57304999999999995</v>
      </c>
      <c r="AS275" s="60">
        <v>0.59759999999999991</v>
      </c>
      <c r="BI275" s="60">
        <v>60</v>
      </c>
      <c r="BJ275" s="60">
        <v>8.9666666666666658E-2</v>
      </c>
      <c r="BK275" s="60">
        <v>9.3833333333333324E-2</v>
      </c>
      <c r="BL275" s="60">
        <v>9.799999999999999E-2</v>
      </c>
      <c r="BM275" s="60">
        <v>0.10216666666666666</v>
      </c>
      <c r="BN275" s="60">
        <v>0.10633333333333332</v>
      </c>
      <c r="BP275" s="60">
        <v>140</v>
      </c>
      <c r="BQ275" s="60">
        <v>0.30259999999999998</v>
      </c>
      <c r="BR275" s="60">
        <v>0.32374999999999998</v>
      </c>
      <c r="BS275" s="60">
        <v>0.34489999999999998</v>
      </c>
      <c r="BT275" s="60">
        <v>0.36604999999999993</v>
      </c>
      <c r="BU275" s="60">
        <v>0.38719999999999993</v>
      </c>
      <c r="CI275" s="60">
        <v>60</v>
      </c>
      <c r="CJ275" s="60">
        <v>7.8750000000000001E-2</v>
      </c>
      <c r="CK275" s="60">
        <v>8.2562499999999997E-2</v>
      </c>
      <c r="CL275" s="60">
        <v>8.6374999999999993E-2</v>
      </c>
      <c r="CM275" s="60">
        <v>9.018749999999999E-2</v>
      </c>
      <c r="CN275" s="60">
        <v>9.4E-2</v>
      </c>
      <c r="CP275" s="60">
        <v>140</v>
      </c>
      <c r="CQ275" s="60">
        <v>0.26559999999999995</v>
      </c>
      <c r="CR275" s="60">
        <v>0.28154999999999997</v>
      </c>
      <c r="CS275" s="60">
        <v>0.29749999999999999</v>
      </c>
      <c r="CT275" s="60">
        <v>0.31344999999999995</v>
      </c>
      <c r="CU275" s="60">
        <v>0.32939999999999997</v>
      </c>
      <c r="DI275" s="60">
        <v>60</v>
      </c>
      <c r="DJ275" s="60">
        <v>6.7833333333333329E-2</v>
      </c>
      <c r="DK275" s="60">
        <v>7.129166666666667E-2</v>
      </c>
      <c r="DL275" s="60">
        <v>7.4749999999999997E-2</v>
      </c>
      <c r="DM275" s="60">
        <v>7.8208333333333324E-2</v>
      </c>
      <c r="DN275" s="60">
        <v>8.1666666666666665E-2</v>
      </c>
      <c r="DP275" s="60">
        <v>140</v>
      </c>
      <c r="DQ275" s="60">
        <v>0.22859999999999994</v>
      </c>
      <c r="DR275" s="60">
        <v>0.23934999999999995</v>
      </c>
      <c r="DS275" s="60">
        <v>0.25009999999999999</v>
      </c>
      <c r="DT275" s="60">
        <v>0.26084999999999997</v>
      </c>
      <c r="DU275" s="60">
        <v>0.27160000000000001</v>
      </c>
    </row>
    <row r="276" spans="2:132" x14ac:dyDescent="0.2">
      <c r="B276" s="60" t="e">
        <f t="shared" si="161"/>
        <v>#DIV/0!</v>
      </c>
      <c r="C276" s="60" t="e">
        <f t="shared" si="162"/>
        <v>#DIV/0!</v>
      </c>
      <c r="D276" s="60" t="e">
        <f t="shared" si="167"/>
        <v>#DIV/0!</v>
      </c>
      <c r="E276" s="60" t="e">
        <f t="shared" si="168"/>
        <v>#DIV/0!</v>
      </c>
      <c r="F276" s="60" t="e">
        <f t="shared" si="169"/>
        <v>#DIV/0!</v>
      </c>
      <c r="G276" s="60" t="e">
        <f t="shared" si="170"/>
        <v>#DIV/0!</v>
      </c>
      <c r="I276" s="60" t="e">
        <f t="shared" si="163"/>
        <v>#DIV/0!</v>
      </c>
      <c r="J276" s="60" t="e">
        <f t="shared" si="164"/>
        <v>#DIV/0!</v>
      </c>
      <c r="K276" s="60" t="e">
        <f t="shared" si="171"/>
        <v>#DIV/0!</v>
      </c>
      <c r="L276" s="60" t="e">
        <f t="shared" si="172"/>
        <v>#DIV/0!</v>
      </c>
      <c r="M276" s="60" t="e">
        <f t="shared" si="173"/>
        <v>#DIV/0!</v>
      </c>
      <c r="N276" s="60" t="e">
        <f t="shared" si="174"/>
        <v>#DIV/0!</v>
      </c>
      <c r="P276" s="60" t="e">
        <f t="shared" ref="P276:P282" si="176">IF($A$264=1,AW276,IF($A$264=2,BW276,IF($A$264=3,CW276,IF($A$264=4,DW276))))</f>
        <v>#DIV/0!</v>
      </c>
      <c r="AB276" s="60">
        <v>70</v>
      </c>
      <c r="AC276" s="60">
        <v>0.10399999999999998</v>
      </c>
      <c r="AD276" s="60">
        <v>0.10899999999999999</v>
      </c>
      <c r="AE276" s="60">
        <v>0.11399999999999998</v>
      </c>
      <c r="AF276" s="60">
        <v>0.11899999999999998</v>
      </c>
      <c r="AG276" s="60">
        <v>0.12399999999999999</v>
      </c>
      <c r="AI276" s="60">
        <v>150</v>
      </c>
      <c r="AK276" s="60">
        <v>0.55969999999999998</v>
      </c>
      <c r="AM276" s="60">
        <v>0.58709999999999996</v>
      </c>
      <c r="AO276" s="60">
        <v>0.61450000000000005</v>
      </c>
      <c r="AQ276" s="60">
        <v>0.64190000000000003</v>
      </c>
      <c r="AS276" s="60">
        <v>0.66930000000000001</v>
      </c>
      <c r="AW276" s="60" t="s">
        <v>3966</v>
      </c>
      <c r="BI276" s="60">
        <v>70</v>
      </c>
      <c r="BJ276" s="60">
        <v>6.3E-2</v>
      </c>
      <c r="BK276" s="60">
        <v>6.6000000000000003E-2</v>
      </c>
      <c r="BL276" s="60">
        <v>6.8999999999999992E-2</v>
      </c>
      <c r="BM276" s="60">
        <v>7.1999999999999995E-2</v>
      </c>
      <c r="BN276" s="60">
        <v>7.4999999999999997E-2</v>
      </c>
      <c r="BP276" s="60">
        <v>150</v>
      </c>
      <c r="BQ276" s="60">
        <v>0.33929999999999993</v>
      </c>
      <c r="BR276" s="60">
        <v>0.36287499999999989</v>
      </c>
      <c r="BS276" s="60">
        <v>0.3864499999999999</v>
      </c>
      <c r="BT276" s="60">
        <v>0.41002499999999986</v>
      </c>
      <c r="BU276" s="60">
        <v>0.43359999999999987</v>
      </c>
      <c r="BW276" s="60" t="s">
        <v>3966</v>
      </c>
      <c r="CI276" s="60">
        <v>70</v>
      </c>
      <c r="CJ276" s="60">
        <v>5.6500000000000002E-2</v>
      </c>
      <c r="CK276" s="60">
        <v>5.9249999999999997E-2</v>
      </c>
      <c r="CL276" s="60">
        <v>6.2E-2</v>
      </c>
      <c r="CM276" s="60">
        <v>6.4750000000000002E-2</v>
      </c>
      <c r="CN276" s="60">
        <v>6.7500000000000004E-2</v>
      </c>
      <c r="CP276" s="60">
        <v>150</v>
      </c>
      <c r="CQ276" s="60">
        <v>0.29779999999999995</v>
      </c>
      <c r="CR276" s="60">
        <v>0.31552499999999994</v>
      </c>
      <c r="CS276" s="60">
        <v>0.33324999999999994</v>
      </c>
      <c r="CT276" s="60">
        <v>0.35097499999999993</v>
      </c>
      <c r="CU276" s="60">
        <v>0.36869999999999992</v>
      </c>
      <c r="CW276" s="60" t="s">
        <v>3966</v>
      </c>
      <c r="DI276" s="60">
        <v>70</v>
      </c>
      <c r="DJ276" s="60">
        <v>0.05</v>
      </c>
      <c r="DK276" s="60">
        <v>5.2499999999999998E-2</v>
      </c>
      <c r="DL276" s="60">
        <v>5.5E-2</v>
      </c>
      <c r="DM276" s="60">
        <v>5.7500000000000002E-2</v>
      </c>
      <c r="DN276" s="60">
        <v>0.06</v>
      </c>
      <c r="DP276" s="60">
        <v>150</v>
      </c>
      <c r="DQ276" s="60">
        <v>0.25629999999999997</v>
      </c>
      <c r="DR276" s="60">
        <v>0.26817499999999994</v>
      </c>
      <c r="DS276" s="60">
        <v>0.28004999999999997</v>
      </c>
      <c r="DT276" s="60">
        <v>0.29192499999999999</v>
      </c>
      <c r="DU276" s="60">
        <v>0.30380000000000001</v>
      </c>
      <c r="DW276" s="60" t="s">
        <v>3966</v>
      </c>
    </row>
    <row r="277" spans="2:132" x14ac:dyDescent="0.2">
      <c r="I277" s="60" t="e">
        <f t="shared" si="163"/>
        <v>#DIV/0!</v>
      </c>
      <c r="J277" s="60" t="e">
        <f t="shared" si="164"/>
        <v>#DIV/0!</v>
      </c>
      <c r="K277" s="60" t="e">
        <f t="shared" si="171"/>
        <v>#DIV/0!</v>
      </c>
      <c r="L277" s="60" t="e">
        <f t="shared" si="172"/>
        <v>#DIV/0!</v>
      </c>
      <c r="M277" s="60" t="e">
        <f t="shared" si="173"/>
        <v>#DIV/0!</v>
      </c>
      <c r="N277" s="60" t="e">
        <f t="shared" si="174"/>
        <v>#DIV/0!</v>
      </c>
      <c r="P277" s="60" t="e">
        <f t="shared" si="176"/>
        <v>#DIV/0!</v>
      </c>
      <c r="Q277" s="60" t="e">
        <f>IF($A$264=1,AX277,IF($A$264=2,BX277,IF($A$264=3,CX277,IF($A$264=4,DX277))))</f>
        <v>#DIV/0!</v>
      </c>
      <c r="AB277" s="60" t="s">
        <v>2794</v>
      </c>
      <c r="AI277" s="60">
        <v>160</v>
      </c>
      <c r="AK277" s="60">
        <v>0.62</v>
      </c>
      <c r="AM277" s="60">
        <v>0.65024999999999999</v>
      </c>
      <c r="AO277" s="60">
        <v>0.68049999999999999</v>
      </c>
      <c r="AQ277" s="60">
        <v>0.71074999999999999</v>
      </c>
      <c r="AS277" s="60">
        <v>0.74099999999999999</v>
      </c>
      <c r="AW277" s="60" t="s">
        <v>3411</v>
      </c>
      <c r="AX277" s="60" t="s">
        <v>3968</v>
      </c>
      <c r="BI277" s="60" t="s">
        <v>2798</v>
      </c>
      <c r="BP277" s="60">
        <v>160</v>
      </c>
      <c r="BQ277" s="60">
        <v>0.37599999999999995</v>
      </c>
      <c r="BR277" s="60">
        <v>0.40199999999999997</v>
      </c>
      <c r="BS277" s="60">
        <v>0.42799999999999994</v>
      </c>
      <c r="BT277" s="60">
        <v>0.45399999999999996</v>
      </c>
      <c r="BU277" s="60">
        <v>0.48</v>
      </c>
      <c r="BW277" s="60" t="s">
        <v>3411</v>
      </c>
      <c r="BX277" s="60" t="s">
        <v>3968</v>
      </c>
      <c r="CI277" s="60" t="s">
        <v>225</v>
      </c>
      <c r="CP277" s="60">
        <v>160</v>
      </c>
      <c r="CQ277" s="60">
        <v>0.33</v>
      </c>
      <c r="CR277" s="60">
        <v>0.34949999999999998</v>
      </c>
      <c r="CS277" s="60">
        <v>0.36899999999999999</v>
      </c>
      <c r="CT277" s="60">
        <v>0.38849999999999996</v>
      </c>
      <c r="CU277" s="60">
        <v>0.40800000000000003</v>
      </c>
      <c r="CW277" s="60" t="s">
        <v>3411</v>
      </c>
      <c r="CX277" s="60" t="s">
        <v>3968</v>
      </c>
      <c r="DI277" s="60" t="s">
        <v>2803</v>
      </c>
      <c r="DP277" s="60">
        <v>160</v>
      </c>
      <c r="DQ277" s="60">
        <v>0.28399999999999997</v>
      </c>
      <c r="DR277" s="60">
        <v>0.29699999999999999</v>
      </c>
      <c r="DS277" s="60">
        <v>0.31</v>
      </c>
      <c r="DT277" s="60">
        <v>0.32300000000000001</v>
      </c>
      <c r="DU277" s="60">
        <v>0.33600000000000002</v>
      </c>
      <c r="DW277" s="60" t="s">
        <v>3411</v>
      </c>
      <c r="DX277" s="60" t="s">
        <v>3968</v>
      </c>
    </row>
    <row r="278" spans="2:132" x14ac:dyDescent="0.2">
      <c r="P278" s="60" t="e">
        <f t="shared" si="176"/>
        <v>#DIV/0!</v>
      </c>
      <c r="S278" s="60" t="e">
        <f>IF($A$264=1,AZ278,IF($A$264=2,BZ278,IF($A$264=3,CZ278,IF($A$264=4,DZ278))))</f>
        <v>#DIV/0!</v>
      </c>
      <c r="AI278" s="60" t="s">
        <v>2795</v>
      </c>
      <c r="AW278" s="60" t="s">
        <v>3970</v>
      </c>
      <c r="AZ278" s="60">
        <v>0.29198714198986447</v>
      </c>
      <c r="BP278" s="60" t="s">
        <v>2799</v>
      </c>
      <c r="BW278" s="60" t="s">
        <v>3970</v>
      </c>
      <c r="BZ278" s="60">
        <v>0.29450135475649097</v>
      </c>
      <c r="CP278" s="60" t="s">
        <v>226</v>
      </c>
      <c r="CW278" s="60" t="s">
        <v>3970</v>
      </c>
      <c r="CZ278" s="60">
        <v>0.29646818978303136</v>
      </c>
      <c r="DP278" s="60" t="s">
        <v>2804</v>
      </c>
      <c r="DW278" s="60" t="s">
        <v>3970</v>
      </c>
      <c r="DZ278" s="60">
        <v>0.29843502480957174</v>
      </c>
    </row>
    <row r="279" spans="2:132" x14ac:dyDescent="0.2">
      <c r="B279" s="60" t="e">
        <f>IF($A$264=1,AB279,IF($A$264=2,BI279,IF($A$264=3,CI279,IF($A$264=4,DI279))))</f>
        <v>#DIV/0!</v>
      </c>
      <c r="D279" s="60" t="e">
        <f t="shared" ref="D279:G280" si="177">IF($A$264=1,AD279,IF($A$264=2,BK279,IF($A$264=3,CK279,IF($A$264=4,DK279))))</f>
        <v>#DIV/0!</v>
      </c>
      <c r="E279" s="60" t="e">
        <f t="shared" si="177"/>
        <v>#DIV/0!</v>
      </c>
      <c r="F279" s="60" t="e">
        <f t="shared" si="177"/>
        <v>#DIV/0!</v>
      </c>
      <c r="G279" s="60" t="e">
        <f t="shared" si="177"/>
        <v>#DIV/0!</v>
      </c>
      <c r="P279" s="60" t="e">
        <f t="shared" si="176"/>
        <v>#DIV/0!</v>
      </c>
      <c r="S279" s="60" t="e">
        <f>IF($A$264=1,AZ279,IF($A$264=2,BZ279,IF($A$264=3,CZ279,IF($A$264=4,DZ279))))</f>
        <v>#DIV/0!</v>
      </c>
      <c r="AB279" s="60" t="s">
        <v>3971</v>
      </c>
      <c r="AD279" s="60" t="s">
        <v>2699</v>
      </c>
      <c r="AE279" s="60" t="s">
        <v>2701</v>
      </c>
      <c r="AF279" s="60" t="s">
        <v>2703</v>
      </c>
      <c r="AG279" s="60" t="s">
        <v>2705</v>
      </c>
      <c r="AW279" s="60" t="s">
        <v>3972</v>
      </c>
      <c r="AZ279" s="60">
        <v>0.63583247556231004</v>
      </c>
      <c r="BI279" s="60" t="s">
        <v>3971</v>
      </c>
      <c r="BK279" s="60" t="s">
        <v>2699</v>
      </c>
      <c r="BL279" s="60" t="s">
        <v>2701</v>
      </c>
      <c r="BM279" s="60" t="s">
        <v>2703</v>
      </c>
      <c r="BN279" s="60" t="s">
        <v>2705</v>
      </c>
      <c r="BW279" s="60" t="s">
        <v>3972</v>
      </c>
      <c r="BZ279" s="60">
        <v>0.64128730066691841</v>
      </c>
      <c r="CI279" s="60" t="s">
        <v>3971</v>
      </c>
      <c r="CK279" s="60" t="s">
        <v>2699</v>
      </c>
      <c r="CL279" s="60" t="s">
        <v>2701</v>
      </c>
      <c r="CM279" s="60" t="s">
        <v>2703</v>
      </c>
      <c r="CN279" s="60" t="s">
        <v>2705</v>
      </c>
      <c r="CW279" s="60" t="s">
        <v>3972</v>
      </c>
      <c r="CZ279" s="60">
        <v>0.64255951814094292</v>
      </c>
      <c r="DI279" s="60" t="s">
        <v>3971</v>
      </c>
      <c r="DK279" s="60" t="s">
        <v>2699</v>
      </c>
      <c r="DL279" s="60" t="s">
        <v>2701</v>
      </c>
      <c r="DM279" s="60" t="s">
        <v>2703</v>
      </c>
      <c r="DN279" s="60" t="s">
        <v>2705</v>
      </c>
      <c r="DW279" s="60" t="s">
        <v>3972</v>
      </c>
      <c r="DZ279" s="60">
        <v>0.64383173561496754</v>
      </c>
    </row>
    <row r="280" spans="2:132" x14ac:dyDescent="0.2">
      <c r="D280" s="60" t="e">
        <f t="shared" si="177"/>
        <v>#DIV/0!</v>
      </c>
      <c r="E280" s="60" t="e">
        <f t="shared" si="177"/>
        <v>#DIV/0!</v>
      </c>
      <c r="F280" s="60" t="e">
        <f t="shared" si="177"/>
        <v>#DIV/0!</v>
      </c>
      <c r="G280" s="60" t="e">
        <f t="shared" si="177"/>
        <v>#DIV/0!</v>
      </c>
      <c r="I280" s="60" t="e">
        <f>IF($A$264=1,AI280,IF($A$264=2,BP280,IF($A$264=3,CP280,IF($A$264=4,DP280))))</f>
        <v>#DIV/0!</v>
      </c>
      <c r="K280" s="60" t="e">
        <f>IF($A$264=1,AM280,IF($A$264=2,BR280,IF($A$264=3,CR280,IF($A$264=4,DR280))))</f>
        <v>#DIV/0!</v>
      </c>
      <c r="L280" s="60" t="e">
        <f>IF($A$264=1,AO280,IF($A$264=2,BS280,IF($A$264=3,CS280,IF($A$264=4,DS280))))</f>
        <v>#DIV/0!</v>
      </c>
      <c r="M280" s="60" t="e">
        <f>IF($A$264=1,AQ280,IF($A$264=2,BT280,IF($A$264=3,CT280,IF($A$264=4,DT280))))</f>
        <v>#DIV/0!</v>
      </c>
      <c r="N280" s="60" t="e">
        <f>IF($A$264=1,AS280,IF($A$264=2,BU280,IF($A$264=3,CU280,IF($A$264=4,DU280))))</f>
        <v>#DIV/0!</v>
      </c>
      <c r="P280" s="60" t="e">
        <f t="shared" si="176"/>
        <v>#DIV/0!</v>
      </c>
      <c r="S280" s="60" t="e">
        <f>IF($A$264=1,AZ280,IF($A$264=2,BZ280,IF($A$264=3,CZ280,IF($A$264=4,DZ280))))</f>
        <v>#DIV/0!</v>
      </c>
      <c r="AB280" s="60" t="s">
        <v>3973</v>
      </c>
      <c r="AD280" s="60">
        <v>1.7467811158798281</v>
      </c>
      <c r="AE280" s="60">
        <v>1.2188841201716736</v>
      </c>
      <c r="AF280" s="60">
        <v>1</v>
      </c>
      <c r="AG280" s="60">
        <v>0.85836909871244638</v>
      </c>
      <c r="AI280" s="60" t="s">
        <v>3971</v>
      </c>
      <c r="AM280" s="60" t="s">
        <v>2699</v>
      </c>
      <c r="AO280" s="60" t="s">
        <v>2701</v>
      </c>
      <c r="AQ280" s="60" t="s">
        <v>2703</v>
      </c>
      <c r="AS280" s="60" t="s">
        <v>2705</v>
      </c>
      <c r="AW280" s="60" t="s">
        <v>3974</v>
      </c>
      <c r="AZ280" s="60">
        <v>1</v>
      </c>
      <c r="BI280" s="60" t="s">
        <v>3973</v>
      </c>
      <c r="BK280" s="60">
        <v>1.9235668789808917</v>
      </c>
      <c r="BL280" s="60">
        <v>1.2611464968152868</v>
      </c>
      <c r="BM280" s="60">
        <v>1</v>
      </c>
      <c r="BN280" s="60">
        <v>0.85987261146496818</v>
      </c>
      <c r="BP280" s="60" t="s">
        <v>3971</v>
      </c>
      <c r="BR280" s="60" t="s">
        <v>2699</v>
      </c>
      <c r="BS280" s="60" t="s">
        <v>2701</v>
      </c>
      <c r="BT280" s="60" t="s">
        <v>2703</v>
      </c>
      <c r="BU280" s="60" t="s">
        <v>2705</v>
      </c>
      <c r="BW280" s="60" t="s">
        <v>3974</v>
      </c>
      <c r="BZ280" s="60">
        <v>1</v>
      </c>
      <c r="CI280" s="60" t="s">
        <v>3973</v>
      </c>
      <c r="CK280" s="60">
        <v>1.845404129145618</v>
      </c>
      <c r="CL280" s="60">
        <v>1.2383318690972986</v>
      </c>
      <c r="CM280" s="60">
        <v>1</v>
      </c>
      <c r="CN280" s="60">
        <v>0.86097078849110487</v>
      </c>
      <c r="CP280" s="60" t="s">
        <v>3971</v>
      </c>
      <c r="CR280" s="60" t="s">
        <v>2699</v>
      </c>
      <c r="CS280" s="60" t="s">
        <v>2701</v>
      </c>
      <c r="CT280" s="60" t="s">
        <v>2703</v>
      </c>
      <c r="CU280" s="60" t="s">
        <v>2705</v>
      </c>
      <c r="CW280" s="60" t="s">
        <v>3974</v>
      </c>
      <c r="CZ280" s="60">
        <v>1</v>
      </c>
      <c r="DI280" s="60" t="s">
        <v>3973</v>
      </c>
      <c r="DK280" s="60">
        <v>1.7672413793103445</v>
      </c>
      <c r="DL280" s="60">
        <v>1.2155172413793103</v>
      </c>
      <c r="DM280" s="60">
        <v>1</v>
      </c>
      <c r="DN280" s="60">
        <v>0.86206896551724144</v>
      </c>
      <c r="DP280" s="60" t="s">
        <v>3971</v>
      </c>
      <c r="DR280" s="60" t="s">
        <v>2699</v>
      </c>
      <c r="DS280" s="60" t="s">
        <v>2701</v>
      </c>
      <c r="DT280" s="60" t="s">
        <v>2703</v>
      </c>
      <c r="DU280" s="60" t="s">
        <v>2705</v>
      </c>
      <c r="DW280" s="60" t="s">
        <v>3974</v>
      </c>
      <c r="DZ280" s="60">
        <v>1</v>
      </c>
    </row>
    <row r="281" spans="2:132" x14ac:dyDescent="0.2">
      <c r="K281" s="60" t="e">
        <f>IF($A$264=1,AM281,IF($A$264=2,BR281,IF($A$264=3,CR281,IF($A$264=4,DR281))))</f>
        <v>#DIV/0!</v>
      </c>
      <c r="L281" s="60" t="e">
        <f>IF($A$264=1,AO281,IF($A$264=2,BS281,IF($A$264=3,CS281,IF($A$264=4,DS281))))</f>
        <v>#DIV/0!</v>
      </c>
      <c r="M281" s="60" t="e">
        <f>IF($A$264=1,AQ281,IF($A$264=2,BT281,IF($A$264=3,CT281,IF($A$264=4,DT281))))</f>
        <v>#DIV/0!</v>
      </c>
      <c r="N281" s="60" t="e">
        <f>IF($A$264=1,AS281,IF($A$264=2,BU281,IF($A$264=3,CU281,IF($A$264=4,DU281))))</f>
        <v>#DIV/0!</v>
      </c>
      <c r="P281" s="60" t="e">
        <f t="shared" si="176"/>
        <v>#DIV/0!</v>
      </c>
      <c r="S281" s="60" t="e">
        <f>IF($A$264=1,AZ281,IF($A$264=2,BZ281,IF($A$264=3,CZ281,IF($A$264=4,DZ281))))</f>
        <v>#DIV/0!</v>
      </c>
      <c r="AI281" s="60" t="s">
        <v>3975</v>
      </c>
      <c r="AM281" s="60">
        <v>1.820754716981132</v>
      </c>
      <c r="AO281" s="60">
        <v>1.2515723270440251</v>
      </c>
      <c r="AQ281" s="60">
        <v>1</v>
      </c>
      <c r="AS281" s="60">
        <v>0.86792452830188682</v>
      </c>
      <c r="AW281" s="60" t="s">
        <v>3976</v>
      </c>
      <c r="AZ281" s="60">
        <v>2.1651533858191687</v>
      </c>
      <c r="BP281" s="60" t="s">
        <v>3975</v>
      </c>
      <c r="BR281" s="60">
        <v>2.1422413793103448</v>
      </c>
      <c r="BS281" s="60">
        <v>1.3060344827586206</v>
      </c>
      <c r="BT281" s="60">
        <v>1</v>
      </c>
      <c r="BU281" s="60">
        <v>0.84482758620689657</v>
      </c>
      <c r="BW281" s="60" t="s">
        <v>3976</v>
      </c>
      <c r="BZ281" s="60">
        <v>2.099499094355433</v>
      </c>
      <c r="CP281" s="60" t="s">
        <v>3975</v>
      </c>
      <c r="CR281" s="60">
        <v>2.0177873563218389</v>
      </c>
      <c r="CS281" s="60">
        <v>1.2963505747126436</v>
      </c>
      <c r="CT281" s="60">
        <v>1</v>
      </c>
      <c r="CU281" s="60">
        <v>0.84908045977011493</v>
      </c>
      <c r="CW281" s="60" t="s">
        <v>3976</v>
      </c>
      <c r="CZ281" s="60">
        <v>2.0894050654990508</v>
      </c>
      <c r="DP281" s="60" t="s">
        <v>3975</v>
      </c>
      <c r="DR281" s="60">
        <v>1.8933333333333333</v>
      </c>
      <c r="DS281" s="60">
        <v>1.2866666666666668</v>
      </c>
      <c r="DT281" s="60">
        <v>1</v>
      </c>
      <c r="DU281" s="60">
        <v>0.85333333333333339</v>
      </c>
      <c r="DW281" s="60" t="s">
        <v>3976</v>
      </c>
      <c r="DZ281" s="60">
        <v>2.079311036642669</v>
      </c>
    </row>
    <row r="282" spans="2:132" x14ac:dyDescent="0.2">
      <c r="P282" s="60" t="e">
        <f t="shared" si="176"/>
        <v>#DIV/0!</v>
      </c>
      <c r="S282" s="60" t="e">
        <f>IF($A$264=1,AZ282,IF($A$264=2,BZ282,IF($A$264=3,CZ282,IF($A$264=4,DZ282))))</f>
        <v>#DIV/0!</v>
      </c>
      <c r="AW282" s="60" t="s">
        <v>3977</v>
      </c>
      <c r="AZ282" s="60">
        <v>3.481600787455581</v>
      </c>
      <c r="BW282" s="60" t="s">
        <v>3977</v>
      </c>
      <c r="BZ282" s="60">
        <v>3.6825910948320439</v>
      </c>
      <c r="CW282" s="60" t="s">
        <v>3977</v>
      </c>
      <c r="CZ282" s="60">
        <v>3.4525195437831062</v>
      </c>
      <c r="DW282" s="60" t="s">
        <v>3977</v>
      </c>
      <c r="DZ282" s="60">
        <v>3.222447992734168</v>
      </c>
    </row>
    <row r="285" spans="2:132" x14ac:dyDescent="0.2">
      <c r="B285" s="60" t="e">
        <f t="shared" ref="B285:B291" si="178">IF($A$264=1,AB285,IF($A$264=2,BI285,IF($A$264=3,CI285,IF($A$264=4,DI285))))</f>
        <v>#DIV/0!</v>
      </c>
      <c r="I285" s="60" t="e">
        <f t="shared" ref="I285:I291" si="179">IF($A$264=1,AI285,IF($A$264=2,BP285,IF($A$264=3,CP285,IF($A$264=4,DP285))))</f>
        <v>#DIV/0!</v>
      </c>
      <c r="AB285" s="60" t="s">
        <v>3978</v>
      </c>
      <c r="AI285" s="60" t="s">
        <v>1667</v>
      </c>
      <c r="AW285" s="60" t="s">
        <v>1668</v>
      </c>
      <c r="BI285" s="60" t="s">
        <v>3978</v>
      </c>
      <c r="BP285" s="60" t="s">
        <v>1667</v>
      </c>
      <c r="BW285" s="60" t="s">
        <v>1668</v>
      </c>
      <c r="CI285" s="60" t="s">
        <v>3978</v>
      </c>
      <c r="CP285" s="60" t="s">
        <v>1667</v>
      </c>
      <c r="CW285" s="60" t="s">
        <v>1668</v>
      </c>
      <c r="DI285" s="60" t="s">
        <v>3978</v>
      </c>
      <c r="DP285" s="60" t="s">
        <v>1667</v>
      </c>
      <c r="DW285" s="60" t="s">
        <v>1668</v>
      </c>
    </row>
    <row r="286" spans="2:132" x14ac:dyDescent="0.2">
      <c r="B286" s="60" t="e">
        <f t="shared" si="178"/>
        <v>#DIV/0!</v>
      </c>
      <c r="C286" s="60" t="e">
        <f t="shared" ref="C286:F291" si="180">IF($A$264=1,AC286,IF($A$264=2,BJ286,IF($A$264=3,CJ286,IF($A$264=4,DJ286))))</f>
        <v>#DIV/0!</v>
      </c>
      <c r="D286" s="60" t="e">
        <f t="shared" si="180"/>
        <v>#DIV/0!</v>
      </c>
      <c r="E286" s="60" t="e">
        <f t="shared" si="180"/>
        <v>#DIV/0!</v>
      </c>
      <c r="F286" s="60" t="e">
        <f t="shared" si="180"/>
        <v>#DIV/0!</v>
      </c>
      <c r="I286" s="60" t="e">
        <f t="shared" si="179"/>
        <v>#DIV/0!</v>
      </c>
      <c r="J286" s="60" t="e">
        <f t="shared" ref="J286:J291" si="181">IF($A$264=1,AK286,IF($A$264=2,BQ286,IF($A$264=3,CQ286,IF($A$264=4,DQ286))))</f>
        <v>#DIV/0!</v>
      </c>
      <c r="K286" s="60" t="e">
        <f t="shared" ref="K286:K291" si="182">IF($A$264=1,AM286,IF($A$264=2,BR286,IF($A$264=3,CR286,IF($A$264=4,DR286))))</f>
        <v>#DIV/0!</v>
      </c>
      <c r="L286" s="60" t="e">
        <f t="shared" ref="L286:L291" si="183">IF($A$264=1,AO286,IF($A$264=2,BS286,IF($A$264=3,CS286,IF($A$264=4,DS286))))</f>
        <v>#DIV/0!</v>
      </c>
      <c r="M286" s="60" t="e">
        <f t="shared" ref="M286:M291" si="184">IF($A$264=1,AQ286,IF($A$264=2,BT286,IF($A$264=3,CT286,IF($A$264=4,DT286))))</f>
        <v>#DIV/0!</v>
      </c>
      <c r="AB286" s="60" t="s">
        <v>3411</v>
      </c>
      <c r="AC286" s="60" t="s">
        <v>2699</v>
      </c>
      <c r="AD286" s="60" t="s">
        <v>2701</v>
      </c>
      <c r="AE286" s="60" t="s">
        <v>2703</v>
      </c>
      <c r="AF286" s="60" t="s">
        <v>2705</v>
      </c>
      <c r="AI286" s="60" t="s">
        <v>3411</v>
      </c>
      <c r="AK286" s="60" t="s">
        <v>2699</v>
      </c>
      <c r="AM286" s="60" t="s">
        <v>2701</v>
      </c>
      <c r="AO286" s="60" t="s">
        <v>2703</v>
      </c>
      <c r="AQ286" s="60" t="s">
        <v>2705</v>
      </c>
      <c r="AW286" s="60" t="s">
        <v>1669</v>
      </c>
      <c r="BI286" s="60" t="s">
        <v>3411</v>
      </c>
      <c r="BJ286" s="60" t="s">
        <v>2699</v>
      </c>
      <c r="BK286" s="60" t="s">
        <v>2701</v>
      </c>
      <c r="BL286" s="60" t="s">
        <v>2703</v>
      </c>
      <c r="BM286" s="60" t="s">
        <v>2705</v>
      </c>
      <c r="BP286" s="60" t="s">
        <v>3411</v>
      </c>
      <c r="BQ286" s="60" t="s">
        <v>2699</v>
      </c>
      <c r="BR286" s="60" t="s">
        <v>2701</v>
      </c>
      <c r="BS286" s="60" t="s">
        <v>2703</v>
      </c>
      <c r="BT286" s="60" t="s">
        <v>2705</v>
      </c>
      <c r="BW286" s="60" t="s">
        <v>1669</v>
      </c>
      <c r="CI286" s="60" t="s">
        <v>3411</v>
      </c>
      <c r="CJ286" s="60" t="s">
        <v>2699</v>
      </c>
      <c r="CK286" s="60" t="s">
        <v>2701</v>
      </c>
      <c r="CL286" s="60" t="s">
        <v>2703</v>
      </c>
      <c r="CM286" s="60" t="s">
        <v>2705</v>
      </c>
      <c r="CP286" s="60" t="s">
        <v>3411</v>
      </c>
      <c r="CQ286" s="60" t="s">
        <v>2699</v>
      </c>
      <c r="CR286" s="60" t="s">
        <v>2701</v>
      </c>
      <c r="CS286" s="60" t="s">
        <v>2703</v>
      </c>
      <c r="CT286" s="60" t="s">
        <v>2705</v>
      </c>
      <c r="CW286" s="60" t="s">
        <v>1669</v>
      </c>
      <c r="DI286" s="60" t="s">
        <v>3411</v>
      </c>
      <c r="DJ286" s="60" t="s">
        <v>2699</v>
      </c>
      <c r="DK286" s="60" t="s">
        <v>2701</v>
      </c>
      <c r="DL286" s="60" t="s">
        <v>2703</v>
      </c>
      <c r="DM286" s="60" t="s">
        <v>2705</v>
      </c>
      <c r="DP286" s="60" t="s">
        <v>3411</v>
      </c>
      <c r="DQ286" s="60" t="s">
        <v>2699</v>
      </c>
      <c r="DR286" s="60" t="s">
        <v>2701</v>
      </c>
      <c r="DS286" s="60" t="s">
        <v>2703</v>
      </c>
      <c r="DT286" s="60" t="s">
        <v>2705</v>
      </c>
      <c r="DW286" s="60" t="s">
        <v>1669</v>
      </c>
    </row>
    <row r="287" spans="2:132" x14ac:dyDescent="0.2">
      <c r="B287" s="60" t="e">
        <f t="shared" si="178"/>
        <v>#DIV/0!</v>
      </c>
      <c r="C287" s="60" t="e">
        <f t="shared" si="180"/>
        <v>#DIV/0!</v>
      </c>
      <c r="D287" s="60" t="e">
        <f t="shared" si="180"/>
        <v>#DIV/0!</v>
      </c>
      <c r="E287" s="60" t="e">
        <f t="shared" si="180"/>
        <v>#DIV/0!</v>
      </c>
      <c r="F287" s="60" t="e">
        <f t="shared" si="180"/>
        <v>#DIV/0!</v>
      </c>
      <c r="I287" s="60" t="e">
        <f t="shared" si="179"/>
        <v>#DIV/0!</v>
      </c>
      <c r="J287" s="60" t="e">
        <f t="shared" si="181"/>
        <v>#DIV/0!</v>
      </c>
      <c r="K287" s="60" t="e">
        <f t="shared" si="182"/>
        <v>#DIV/0!</v>
      </c>
      <c r="L287" s="60" t="e">
        <f t="shared" si="183"/>
        <v>#DIV/0!</v>
      </c>
      <c r="M287" s="60" t="e">
        <f t="shared" si="184"/>
        <v>#DIV/0!</v>
      </c>
      <c r="AB287" s="60" t="s">
        <v>3970</v>
      </c>
      <c r="AC287" s="60">
        <v>0.84221243370374632</v>
      </c>
      <c r="AD287" s="60">
        <v>0.77813966577054117</v>
      </c>
      <c r="AE287" s="60">
        <v>0.72963870632542738</v>
      </c>
      <c r="AF287" s="60">
        <v>0.69134934832609252</v>
      </c>
      <c r="AI287" s="60" t="s">
        <v>3970</v>
      </c>
      <c r="AK287" s="60">
        <v>0.82526118247801217</v>
      </c>
      <c r="AM287" s="60">
        <v>0.77168358390488401</v>
      </c>
      <c r="AO287" s="60">
        <v>0.72714842321249684</v>
      </c>
      <c r="AQ287" s="60">
        <v>0.69633940120769788</v>
      </c>
      <c r="BI287" s="60" t="s">
        <v>3970</v>
      </c>
      <c r="BJ287" s="60">
        <v>0.84510094463723029</v>
      </c>
      <c r="BK287" s="60">
        <v>0.77967317447933004</v>
      </c>
      <c r="BL287" s="60">
        <v>0.73023750994782921</v>
      </c>
      <c r="BM287" s="60">
        <v>0.68369200976432065</v>
      </c>
      <c r="BP287" s="60" t="s">
        <v>3970</v>
      </c>
      <c r="BQ287" s="60">
        <v>0.83185533033829806</v>
      </c>
      <c r="BR287" s="60">
        <v>0.77596508870515413</v>
      </c>
      <c r="BS287" s="60">
        <v>0.74118760630895764</v>
      </c>
      <c r="BT287" s="60">
        <v>0.70353154961758757</v>
      </c>
      <c r="CI287" s="60" t="s">
        <v>3970</v>
      </c>
      <c r="CJ287" s="60">
        <v>0.84367735393002552</v>
      </c>
      <c r="CK287" s="60">
        <v>0.78491748312476384</v>
      </c>
      <c r="CL287" s="60">
        <v>0.74180107341824675</v>
      </c>
      <c r="CM287" s="60">
        <v>0.68794990098605635</v>
      </c>
      <c r="CP287" s="60" t="s">
        <v>3970</v>
      </c>
      <c r="CQ287" s="60">
        <v>0.8404322105448564</v>
      </c>
      <c r="CR287" s="60">
        <v>0.78093125797690843</v>
      </c>
      <c r="CS287" s="60">
        <v>0.73814400168539773</v>
      </c>
      <c r="CT287" s="60">
        <v>0.70522356652439211</v>
      </c>
      <c r="DI287" s="60" t="s">
        <v>3970</v>
      </c>
      <c r="DJ287" s="60">
        <v>0.84225376322282086</v>
      </c>
      <c r="DK287" s="60">
        <v>0.79016179177019763</v>
      </c>
      <c r="DL287" s="60">
        <v>0.75336463688866429</v>
      </c>
      <c r="DM287" s="60">
        <v>0.69220779220779216</v>
      </c>
      <c r="DP287" s="60" t="s">
        <v>3970</v>
      </c>
      <c r="DQ287" s="60">
        <v>0.84900909075141473</v>
      </c>
      <c r="DR287" s="60">
        <v>0.78589742724866274</v>
      </c>
      <c r="DS287" s="60">
        <v>0.73510039706183772</v>
      </c>
      <c r="DT287" s="60">
        <v>0.70691558343119665</v>
      </c>
    </row>
    <row r="288" spans="2:132" x14ac:dyDescent="0.2">
      <c r="B288" s="60" t="e">
        <f t="shared" si="178"/>
        <v>#DIV/0!</v>
      </c>
      <c r="C288" s="60" t="e">
        <f t="shared" si="180"/>
        <v>#DIV/0!</v>
      </c>
      <c r="D288" s="60" t="e">
        <f t="shared" si="180"/>
        <v>#DIV/0!</v>
      </c>
      <c r="E288" s="60" t="e">
        <f t="shared" si="180"/>
        <v>#DIV/0!</v>
      </c>
      <c r="F288" s="60" t="e">
        <f t="shared" si="180"/>
        <v>#DIV/0!</v>
      </c>
      <c r="I288" s="60" t="e">
        <f t="shared" si="179"/>
        <v>#DIV/0!</v>
      </c>
      <c r="J288" s="60" t="e">
        <f t="shared" si="181"/>
        <v>#DIV/0!</v>
      </c>
      <c r="K288" s="60" t="e">
        <f t="shared" si="182"/>
        <v>#DIV/0!</v>
      </c>
      <c r="L288" s="60" t="e">
        <f t="shared" si="183"/>
        <v>#DIV/0!</v>
      </c>
      <c r="M288" s="60" t="e">
        <f t="shared" si="184"/>
        <v>#DIV/0!</v>
      </c>
      <c r="AB288" s="60" t="s">
        <v>3972</v>
      </c>
      <c r="AC288" s="60">
        <v>0.91419468358288236</v>
      </c>
      <c r="AD288" s="60">
        <v>0.88922616774258501</v>
      </c>
      <c r="AE288" s="60">
        <v>0.87160006508953647</v>
      </c>
      <c r="AF288" s="60">
        <v>0.84287164478194387</v>
      </c>
      <c r="AI288" s="60" t="s">
        <v>3972</v>
      </c>
      <c r="AK288" s="60">
        <v>0.90850024683923958</v>
      </c>
      <c r="AM288" s="60">
        <v>0.88282419978211846</v>
      </c>
      <c r="AO288" s="60">
        <v>0.85982500869379397</v>
      </c>
      <c r="AQ288" s="60">
        <v>0.8448996764888077</v>
      </c>
      <c r="AW288" s="60" t="s">
        <v>1670</v>
      </c>
      <c r="BI288" s="60" t="s">
        <v>3972</v>
      </c>
      <c r="BJ288" s="60">
        <v>0.91561664930549691</v>
      </c>
      <c r="BK288" s="60">
        <v>0.88341292474911892</v>
      </c>
      <c r="BL288" s="60">
        <v>0.85837651428066142</v>
      </c>
      <c r="BM288" s="60">
        <v>0.8402137573482733</v>
      </c>
      <c r="BP288" s="60" t="s">
        <v>3972</v>
      </c>
      <c r="BQ288" s="60">
        <v>0.91565830402579351</v>
      </c>
      <c r="BR288" s="60">
        <v>0.89474753035689714</v>
      </c>
      <c r="BS288" s="60">
        <v>0.87460214491032673</v>
      </c>
      <c r="BT288" s="60">
        <v>0.846817375455306</v>
      </c>
      <c r="BW288" s="60" t="s">
        <v>1670</v>
      </c>
      <c r="CI288" s="60" t="s">
        <v>3972</v>
      </c>
      <c r="CJ288" s="60">
        <v>0.91779902777231381</v>
      </c>
      <c r="CK288" s="60">
        <v>0.8922396036689253</v>
      </c>
      <c r="CL288" s="60">
        <v>0.86087963974704507</v>
      </c>
      <c r="CM288" s="60">
        <v>0.84098710955436751</v>
      </c>
      <c r="CP288" s="60" t="s">
        <v>3972</v>
      </c>
      <c r="CQ288" s="60">
        <v>0.91796722199653769</v>
      </c>
      <c r="CR288" s="60">
        <v>0.8964629013636185</v>
      </c>
      <c r="CS288" s="60">
        <v>0.8701490008462599</v>
      </c>
      <c r="CT288" s="60">
        <v>0.85067167228210883</v>
      </c>
      <c r="CW288" s="60" t="s">
        <v>1670</v>
      </c>
      <c r="DI288" s="60" t="s">
        <v>3972</v>
      </c>
      <c r="DJ288" s="60">
        <v>0.91998140623913083</v>
      </c>
      <c r="DK288" s="60">
        <v>0.90106628258873178</v>
      </c>
      <c r="DL288" s="60">
        <v>0.86338276521342883</v>
      </c>
      <c r="DM288" s="60">
        <v>0.84176046176046171</v>
      </c>
      <c r="DP288" s="60" t="s">
        <v>3972</v>
      </c>
      <c r="DQ288" s="60">
        <v>0.92027613996728186</v>
      </c>
      <c r="DR288" s="60">
        <v>0.89817827237033987</v>
      </c>
      <c r="DS288" s="60">
        <v>0.86569585678219307</v>
      </c>
      <c r="DT288" s="60">
        <v>0.85452596910891165</v>
      </c>
      <c r="DW288" s="60" t="s">
        <v>1670</v>
      </c>
    </row>
    <row r="289" spans="2:127" x14ac:dyDescent="0.2">
      <c r="B289" s="60" t="e">
        <f t="shared" si="178"/>
        <v>#DIV/0!</v>
      </c>
      <c r="C289" s="60" t="e">
        <f t="shared" si="180"/>
        <v>#DIV/0!</v>
      </c>
      <c r="D289" s="60" t="e">
        <f t="shared" si="180"/>
        <v>#DIV/0!</v>
      </c>
      <c r="E289" s="60" t="e">
        <f t="shared" si="180"/>
        <v>#DIV/0!</v>
      </c>
      <c r="F289" s="60" t="e">
        <f t="shared" si="180"/>
        <v>#DIV/0!</v>
      </c>
      <c r="I289" s="60" t="e">
        <f t="shared" si="179"/>
        <v>#DIV/0!</v>
      </c>
      <c r="J289" s="60" t="e">
        <f t="shared" si="181"/>
        <v>#DIV/0!</v>
      </c>
      <c r="K289" s="60" t="e">
        <f t="shared" si="182"/>
        <v>#DIV/0!</v>
      </c>
      <c r="L289" s="60" t="e">
        <f t="shared" si="183"/>
        <v>#DIV/0!</v>
      </c>
      <c r="M289" s="60" t="e">
        <f t="shared" si="184"/>
        <v>#DIV/0!</v>
      </c>
      <c r="AB289" s="60" t="s">
        <v>3974</v>
      </c>
      <c r="AC289" s="60">
        <v>1</v>
      </c>
      <c r="AD289" s="60">
        <v>1</v>
      </c>
      <c r="AE289" s="60">
        <v>1</v>
      </c>
      <c r="AF289" s="60">
        <v>1</v>
      </c>
      <c r="AI289" s="60" t="s">
        <v>3974</v>
      </c>
      <c r="AK289" s="60">
        <v>1</v>
      </c>
      <c r="AM289" s="60">
        <v>1</v>
      </c>
      <c r="AO289" s="60">
        <v>1</v>
      </c>
      <c r="AQ289" s="60">
        <v>1</v>
      </c>
      <c r="AW289" s="60" t="s">
        <v>1671</v>
      </c>
      <c r="BI289" s="60" t="s">
        <v>3974</v>
      </c>
      <c r="BJ289" s="60">
        <v>1</v>
      </c>
      <c r="BK289" s="60">
        <v>1</v>
      </c>
      <c r="BL289" s="60">
        <v>1</v>
      </c>
      <c r="BM289" s="60">
        <v>1</v>
      </c>
      <c r="BP289" s="60" t="s">
        <v>3974</v>
      </c>
      <c r="BQ289" s="60">
        <v>1</v>
      </c>
      <c r="BR289" s="60">
        <v>1</v>
      </c>
      <c r="BS289" s="60">
        <v>1</v>
      </c>
      <c r="BT289" s="60">
        <v>1</v>
      </c>
      <c r="BW289" s="60" t="s">
        <v>1671</v>
      </c>
      <c r="CI289" s="60" t="s">
        <v>3974</v>
      </c>
      <c r="CJ289" s="60">
        <v>1</v>
      </c>
      <c r="CK289" s="60">
        <v>1</v>
      </c>
      <c r="CL289" s="60">
        <v>1</v>
      </c>
      <c r="CM289" s="60">
        <v>1</v>
      </c>
      <c r="CP289" s="60" t="s">
        <v>3974</v>
      </c>
      <c r="CQ289" s="60">
        <v>1</v>
      </c>
      <c r="CR289" s="60">
        <v>1</v>
      </c>
      <c r="CS289" s="60">
        <v>1</v>
      </c>
      <c r="CT289" s="60">
        <v>1</v>
      </c>
      <c r="CW289" s="60" t="s">
        <v>1671</v>
      </c>
      <c r="DI289" s="60" t="s">
        <v>3974</v>
      </c>
      <c r="DJ289" s="60">
        <v>1</v>
      </c>
      <c r="DK289" s="60">
        <v>1</v>
      </c>
      <c r="DL289" s="60">
        <v>1</v>
      </c>
      <c r="DM289" s="60">
        <v>1</v>
      </c>
      <c r="DP289" s="60" t="s">
        <v>3974</v>
      </c>
      <c r="DQ289" s="60">
        <v>1</v>
      </c>
      <c r="DR289" s="60">
        <v>1</v>
      </c>
      <c r="DS289" s="60">
        <v>1</v>
      </c>
      <c r="DT289" s="60">
        <v>1</v>
      </c>
      <c r="DW289" s="60" t="s">
        <v>1671</v>
      </c>
    </row>
    <row r="290" spans="2:127" x14ac:dyDescent="0.2">
      <c r="B290" s="60" t="e">
        <f t="shared" si="178"/>
        <v>#DIV/0!</v>
      </c>
      <c r="C290" s="60" t="e">
        <f t="shared" si="180"/>
        <v>#DIV/0!</v>
      </c>
      <c r="D290" s="60" t="e">
        <f t="shared" si="180"/>
        <v>#DIV/0!</v>
      </c>
      <c r="E290" s="60" t="e">
        <f t="shared" si="180"/>
        <v>#DIV/0!</v>
      </c>
      <c r="F290" s="60" t="e">
        <f t="shared" si="180"/>
        <v>#DIV/0!</v>
      </c>
      <c r="I290" s="60" t="e">
        <f t="shared" si="179"/>
        <v>#DIV/0!</v>
      </c>
      <c r="J290" s="60" t="e">
        <f t="shared" si="181"/>
        <v>#DIV/0!</v>
      </c>
      <c r="K290" s="60" t="e">
        <f t="shared" si="182"/>
        <v>#DIV/0!</v>
      </c>
      <c r="L290" s="60" t="e">
        <f t="shared" si="183"/>
        <v>#DIV/0!</v>
      </c>
      <c r="M290" s="60" t="e">
        <f t="shared" si="184"/>
        <v>#DIV/0!</v>
      </c>
      <c r="AB290" s="60" t="s">
        <v>3976</v>
      </c>
      <c r="AC290" s="60">
        <v>1.2337470980533389</v>
      </c>
      <c r="AD290" s="60">
        <v>1.3372420985836981</v>
      </c>
      <c r="AE290" s="60">
        <v>1.4262582465203864</v>
      </c>
      <c r="AF290" s="60">
        <v>1.4815470612812807</v>
      </c>
      <c r="AI290" s="60" t="s">
        <v>3976</v>
      </c>
      <c r="AK290" s="60">
        <v>1.346788202526535</v>
      </c>
      <c r="AM290" s="60">
        <v>1.4868942843540118</v>
      </c>
      <c r="AO290" s="60">
        <v>1.573738654298444</v>
      </c>
      <c r="AQ290" s="60">
        <v>1.6531011533520885</v>
      </c>
      <c r="AW290" s="60" t="s">
        <v>1672</v>
      </c>
      <c r="BI290" s="60" t="s">
        <v>3976</v>
      </c>
      <c r="BJ290" s="60">
        <v>1.2399006275890114</v>
      </c>
      <c r="BK290" s="60">
        <v>1.3379987355053942</v>
      </c>
      <c r="BL290" s="60">
        <v>1.4231185781236182</v>
      </c>
      <c r="BM290" s="60">
        <v>1.4649996808092476</v>
      </c>
      <c r="BP290" s="60" t="s">
        <v>3976</v>
      </c>
      <c r="BQ290" s="60">
        <v>1.334085458982172</v>
      </c>
      <c r="BR290" s="60">
        <v>1.4495267835597392</v>
      </c>
      <c r="BS290" s="60">
        <v>1.5397855344059559</v>
      </c>
      <c r="BT290" s="60">
        <v>1.6031700297716707</v>
      </c>
      <c r="BW290" s="60" t="s">
        <v>1672</v>
      </c>
      <c r="CI290" s="60" t="s">
        <v>3976</v>
      </c>
      <c r="CJ290" s="60">
        <v>1.225889850802317</v>
      </c>
      <c r="CK290" s="60">
        <v>1.3418292055422989</v>
      </c>
      <c r="CL290" s="60">
        <v>1.4112578313661865</v>
      </c>
      <c r="CM290" s="60">
        <v>1.4743901722949557</v>
      </c>
      <c r="CP290" s="60" t="s">
        <v>3976</v>
      </c>
      <c r="CQ290" s="60">
        <v>1.3372701028627825</v>
      </c>
      <c r="CR290" s="60">
        <v>1.4572923747755941</v>
      </c>
      <c r="CS290" s="60">
        <v>1.5454851507206659</v>
      </c>
      <c r="CT290" s="60">
        <v>1.621189354248239</v>
      </c>
      <c r="CW290" s="60" t="s">
        <v>1672</v>
      </c>
      <c r="DI290" s="60" t="s">
        <v>3976</v>
      </c>
      <c r="DJ290" s="60">
        <v>1.2118790740156224</v>
      </c>
      <c r="DK290" s="60">
        <v>1.3456596755792036</v>
      </c>
      <c r="DL290" s="60">
        <v>1.3993970846087551</v>
      </c>
      <c r="DM290" s="60">
        <v>1.4837806637806636</v>
      </c>
      <c r="DP290" s="60" t="s">
        <v>3976</v>
      </c>
      <c r="DQ290" s="60">
        <v>1.3404547467433929</v>
      </c>
      <c r="DR290" s="60">
        <v>1.4650579659914491</v>
      </c>
      <c r="DS290" s="60">
        <v>1.5511847670353762</v>
      </c>
      <c r="DT290" s="60">
        <v>1.6392086787248075</v>
      </c>
      <c r="DW290" s="60" t="s">
        <v>1672</v>
      </c>
    </row>
    <row r="291" spans="2:127" x14ac:dyDescent="0.2">
      <c r="B291" s="60" t="e">
        <f t="shared" si="178"/>
        <v>#DIV/0!</v>
      </c>
      <c r="C291" s="60" t="e">
        <f t="shared" si="180"/>
        <v>#DIV/0!</v>
      </c>
      <c r="D291" s="60" t="e">
        <f t="shared" si="180"/>
        <v>#DIV/0!</v>
      </c>
      <c r="E291" s="60" t="e">
        <f t="shared" si="180"/>
        <v>#DIV/0!</v>
      </c>
      <c r="F291" s="60" t="e">
        <f t="shared" si="180"/>
        <v>#DIV/0!</v>
      </c>
      <c r="I291" s="60" t="e">
        <f t="shared" si="179"/>
        <v>#DIV/0!</v>
      </c>
      <c r="J291" s="60" t="e">
        <f t="shared" si="181"/>
        <v>#DIV/0!</v>
      </c>
      <c r="K291" s="60" t="e">
        <f t="shared" si="182"/>
        <v>#DIV/0!</v>
      </c>
      <c r="L291" s="60" t="e">
        <f t="shared" si="183"/>
        <v>#DIV/0!</v>
      </c>
      <c r="M291" s="60" t="e">
        <f t="shared" si="184"/>
        <v>#DIV/0!</v>
      </c>
      <c r="AB291" s="60" t="s">
        <v>3977</v>
      </c>
      <c r="AC291" s="60">
        <v>1.4777818675049879</v>
      </c>
      <c r="AD291" s="60">
        <v>1.6908297512780155</v>
      </c>
      <c r="AE291" s="60">
        <v>1.8661162326826271</v>
      </c>
      <c r="AF291" s="60">
        <v>1.9724940065471628</v>
      </c>
      <c r="AI291" s="60" t="s">
        <v>3977</v>
      </c>
      <c r="AK291" s="60">
        <v>1.701522834456624</v>
      </c>
      <c r="AM291" s="60">
        <v>1.9749194050409293</v>
      </c>
      <c r="AO291" s="60">
        <v>2.1743168910425039</v>
      </c>
      <c r="AQ291" s="60">
        <v>2.3397569484901788</v>
      </c>
      <c r="AW291" s="60" t="s">
        <v>204</v>
      </c>
      <c r="BI291" s="60" t="s">
        <v>3977</v>
      </c>
      <c r="BJ291" s="60">
        <v>1.4988109567056938</v>
      </c>
      <c r="BK291" s="60">
        <v>1.7040033361134279</v>
      </c>
      <c r="BL291" s="60">
        <v>1.8687410027411797</v>
      </c>
      <c r="BM291" s="60">
        <v>1.9852828759184025</v>
      </c>
      <c r="BP291" s="60" t="s">
        <v>3977</v>
      </c>
      <c r="BQ291" s="60">
        <v>1.6578893880002181</v>
      </c>
      <c r="BR291" s="60">
        <v>1.9171780533018006</v>
      </c>
      <c r="BS291" s="60">
        <v>2.1168053342621045</v>
      </c>
      <c r="BT291" s="60">
        <v>2.2420979720229495</v>
      </c>
      <c r="BW291" s="60" t="s">
        <v>204</v>
      </c>
      <c r="CI291" s="60" t="s">
        <v>3977</v>
      </c>
      <c r="CJ291" s="60">
        <v>1.4862621648149958</v>
      </c>
      <c r="CK291" s="60">
        <v>1.6962555285751661</v>
      </c>
      <c r="CL291" s="60">
        <v>1.8489086996330442</v>
      </c>
      <c r="CM291" s="60">
        <v>1.9776919430097064</v>
      </c>
      <c r="CP291" s="60" t="s">
        <v>3977</v>
      </c>
      <c r="CQ291" s="60">
        <v>1.6630848947428465</v>
      </c>
      <c r="CR291" s="60">
        <v>1.9186385746030967</v>
      </c>
      <c r="CS291" s="60">
        <v>2.1033718541732602</v>
      </c>
      <c r="CT291" s="60">
        <v>2.2553440649526761</v>
      </c>
      <c r="CW291" s="60" t="s">
        <v>204</v>
      </c>
      <c r="DI291" s="60" t="s">
        <v>3977</v>
      </c>
      <c r="DJ291" s="60">
        <v>1.4737133729242979</v>
      </c>
      <c r="DK291" s="60">
        <v>1.6885077210369044</v>
      </c>
      <c r="DL291" s="60">
        <v>1.8290763965249088</v>
      </c>
      <c r="DM291" s="60">
        <v>1.9701010101010101</v>
      </c>
      <c r="DP291" s="60" t="s">
        <v>3977</v>
      </c>
      <c r="DQ291" s="60">
        <v>1.6682804014854746</v>
      </c>
      <c r="DR291" s="60">
        <v>1.9200990959043931</v>
      </c>
      <c r="DS291" s="60">
        <v>2.089938374084416</v>
      </c>
      <c r="DT291" s="60">
        <v>2.2685901578824028</v>
      </c>
      <c r="DW291" s="60" t="s">
        <v>204</v>
      </c>
    </row>
    <row r="294" spans="2:127" x14ac:dyDescent="0.2">
      <c r="B294" s="60" t="e">
        <f>IF($A$264=1,AB294,IF($A$264=2,BI294,IF($A$264=3,CI294,IF($A$264=4,DI294))))</f>
        <v>#DIV/0!</v>
      </c>
      <c r="L294" s="60" t="e">
        <f t="shared" ref="L294:L300" si="185">IF($A$264=1,AO294,IF($A$264=2,BS294,IF($A$264=3,CS294,IF($A$264=4,DS294))))</f>
        <v>#DIV/0!</v>
      </c>
      <c r="AB294" s="60" t="s">
        <v>205</v>
      </c>
      <c r="AO294" s="60" t="s">
        <v>206</v>
      </c>
      <c r="BI294" s="60" t="s">
        <v>205</v>
      </c>
      <c r="BS294" s="60" t="s">
        <v>206</v>
      </c>
      <c r="CI294" s="60" t="s">
        <v>205</v>
      </c>
      <c r="CS294" s="60" t="s">
        <v>206</v>
      </c>
      <c r="DI294" s="60" t="s">
        <v>205</v>
      </c>
      <c r="DS294" s="60" t="s">
        <v>206</v>
      </c>
    </row>
    <row r="295" spans="2:127" x14ac:dyDescent="0.2">
      <c r="L295" s="60" t="e">
        <f t="shared" si="185"/>
        <v>#DIV/0!</v>
      </c>
      <c r="M295" s="60" t="e">
        <f t="shared" ref="M295:M300" si="186">IF($A$264=1,AQ295,IF($A$264=2,BT295,IF($A$264=3,CT295,IF($A$264=4,DT295))))</f>
        <v>#DIV/0!</v>
      </c>
      <c r="N295" s="60" t="e">
        <f t="shared" ref="N295:N300" si="187">IF($A$264=1,AS295,IF($A$264=2,BU295,IF($A$264=3,CU295,IF($A$264=4,DU295))))</f>
        <v>#DIV/0!</v>
      </c>
      <c r="AO295" s="60" t="s">
        <v>3411</v>
      </c>
      <c r="AQ295" s="60" t="s">
        <v>207</v>
      </c>
      <c r="AS295" s="60" t="s">
        <v>208</v>
      </c>
      <c r="BS295" s="60" t="s">
        <v>3411</v>
      </c>
      <c r="BT295" s="60" t="s">
        <v>207</v>
      </c>
      <c r="BU295" s="60" t="s">
        <v>208</v>
      </c>
      <c r="CS295" s="60" t="s">
        <v>3411</v>
      </c>
      <c r="CT295" s="60" t="s">
        <v>207</v>
      </c>
      <c r="CU295" s="60" t="s">
        <v>208</v>
      </c>
      <c r="DS295" s="60" t="s">
        <v>3411</v>
      </c>
      <c r="DT295" s="60" t="s">
        <v>207</v>
      </c>
      <c r="DU295" s="60" t="s">
        <v>208</v>
      </c>
    </row>
    <row r="296" spans="2:127" x14ac:dyDescent="0.2">
      <c r="B296" s="60" t="e">
        <f>IF($A$264=1,AB296,IF($A$264=2,BI296,IF($A$264=3,CI296,IF($A$264=4,DI296))))</f>
        <v>#DIV/0!</v>
      </c>
      <c r="L296" s="60" t="e">
        <f t="shared" si="185"/>
        <v>#DIV/0!</v>
      </c>
      <c r="M296" s="60" t="e">
        <f t="shared" si="186"/>
        <v>#DIV/0!</v>
      </c>
      <c r="N296" s="60" t="e">
        <f t="shared" si="187"/>
        <v>#DIV/0!</v>
      </c>
      <c r="AB296" s="60" t="s">
        <v>209</v>
      </c>
      <c r="AO296" s="60" t="s">
        <v>3970</v>
      </c>
      <c r="AQ296" s="60">
        <v>0.66267092852544596</v>
      </c>
      <c r="AS296" s="60">
        <v>0.33732907147455415</v>
      </c>
      <c r="BI296" s="60" t="s">
        <v>209</v>
      </c>
      <c r="BS296" s="60" t="s">
        <v>3970</v>
      </c>
      <c r="BT296" s="60">
        <v>0.7255158417374844</v>
      </c>
      <c r="BU296" s="60">
        <v>0.27448415826251565</v>
      </c>
      <c r="CI296" s="60" t="s">
        <v>209</v>
      </c>
      <c r="CS296" s="60" t="s">
        <v>3970</v>
      </c>
      <c r="CT296" s="60">
        <v>0.73439267703542743</v>
      </c>
      <c r="CU296" s="60">
        <v>0.26560732296457268</v>
      </c>
      <c r="DI296" s="60" t="s">
        <v>209</v>
      </c>
      <c r="DS296" s="60" t="s">
        <v>3970</v>
      </c>
      <c r="DT296" s="60">
        <v>0.74326951233337035</v>
      </c>
      <c r="DU296" s="60">
        <v>0.25673048766662965</v>
      </c>
    </row>
    <row r="297" spans="2:127" x14ac:dyDescent="0.2">
      <c r="B297" s="60">
        <v>3000</v>
      </c>
      <c r="C297" s="60">
        <v>3000</v>
      </c>
      <c r="D297" s="60">
        <v>6000</v>
      </c>
      <c r="E297" s="60">
        <v>6000</v>
      </c>
      <c r="F297" s="60">
        <v>9000</v>
      </c>
      <c r="G297" s="60">
        <v>9000</v>
      </c>
      <c r="H297" s="60">
        <v>12000</v>
      </c>
      <c r="I297" s="60">
        <v>12000</v>
      </c>
      <c r="J297" s="60">
        <v>15000</v>
      </c>
      <c r="K297" s="60">
        <v>15000</v>
      </c>
      <c r="L297" s="60" t="e">
        <f t="shared" si="185"/>
        <v>#DIV/0!</v>
      </c>
      <c r="M297" s="60" t="e">
        <f t="shared" si="186"/>
        <v>#DIV/0!</v>
      </c>
      <c r="N297" s="60" t="e">
        <f t="shared" si="187"/>
        <v>#DIV/0!</v>
      </c>
      <c r="AB297" s="60" t="s">
        <v>210</v>
      </c>
      <c r="AD297" s="60" t="s">
        <v>211</v>
      </c>
      <c r="AF297" s="60" t="s">
        <v>212</v>
      </c>
      <c r="AH297" s="60" t="s">
        <v>213</v>
      </c>
      <c r="AK297" s="60" t="s">
        <v>214</v>
      </c>
      <c r="AO297" s="60" t="s">
        <v>3972</v>
      </c>
      <c r="AQ297" s="60">
        <v>0.63160325248280169</v>
      </c>
      <c r="AS297" s="60">
        <v>0.36839674751719831</v>
      </c>
      <c r="BI297" s="60" t="s">
        <v>210</v>
      </c>
      <c r="BK297" s="60" t="s">
        <v>211</v>
      </c>
      <c r="BM297" s="60" t="s">
        <v>212</v>
      </c>
      <c r="BO297" s="60" t="s">
        <v>213</v>
      </c>
      <c r="BQ297" s="60" t="s">
        <v>214</v>
      </c>
      <c r="BS297" s="60" t="s">
        <v>3972</v>
      </c>
      <c r="BT297" s="60">
        <v>0.69948268226664367</v>
      </c>
      <c r="BU297" s="60">
        <v>0.30051731773335633</v>
      </c>
      <c r="CI297" s="60" t="s">
        <v>210</v>
      </c>
      <c r="CK297" s="60" t="s">
        <v>211</v>
      </c>
      <c r="CM297" s="60" t="s">
        <v>212</v>
      </c>
      <c r="CO297" s="60" t="s">
        <v>213</v>
      </c>
      <c r="CQ297" s="60" t="s">
        <v>214</v>
      </c>
      <c r="CS297" s="60" t="s">
        <v>3972</v>
      </c>
      <c r="CT297" s="60">
        <v>0.70871986922745056</v>
      </c>
      <c r="CU297" s="60">
        <v>0.29128013077254944</v>
      </c>
      <c r="DI297" s="60" t="s">
        <v>210</v>
      </c>
      <c r="DK297" s="60" t="s">
        <v>211</v>
      </c>
      <c r="DM297" s="60" t="s">
        <v>212</v>
      </c>
      <c r="DO297" s="60" t="s">
        <v>213</v>
      </c>
      <c r="DQ297" s="60" t="s">
        <v>214</v>
      </c>
      <c r="DS297" s="60" t="s">
        <v>3972</v>
      </c>
      <c r="DT297" s="60">
        <v>0.71795705618825756</v>
      </c>
      <c r="DU297" s="60">
        <v>0.28204294381174255</v>
      </c>
    </row>
    <row r="298" spans="2:127" x14ac:dyDescent="0.2">
      <c r="B298" s="60" t="s">
        <v>30</v>
      </c>
      <c r="C298" s="60" t="s">
        <v>851</v>
      </c>
      <c r="D298" s="60" t="s">
        <v>30</v>
      </c>
      <c r="E298" s="60" t="s">
        <v>851</v>
      </c>
      <c r="F298" s="60" t="s">
        <v>30</v>
      </c>
      <c r="G298" s="60" t="s">
        <v>851</v>
      </c>
      <c r="H298" s="60" t="s">
        <v>30</v>
      </c>
      <c r="I298" s="60" t="s">
        <v>851</v>
      </c>
      <c r="J298" s="60" t="s">
        <v>30</v>
      </c>
      <c r="K298" s="60" t="s">
        <v>851</v>
      </c>
      <c r="L298" s="60" t="e">
        <f t="shared" si="185"/>
        <v>#DIV/0!</v>
      </c>
      <c r="M298" s="60" t="e">
        <f t="shared" si="186"/>
        <v>#DIV/0!</v>
      </c>
      <c r="N298" s="60" t="e">
        <f t="shared" si="187"/>
        <v>#DIV/0!</v>
      </c>
      <c r="AB298" s="60" t="s">
        <v>30</v>
      </c>
      <c r="AC298" s="60" t="s">
        <v>851</v>
      </c>
      <c r="AD298" s="60" t="s">
        <v>30</v>
      </c>
      <c r="AE298" s="60" t="s">
        <v>851</v>
      </c>
      <c r="AF298" s="60" t="s">
        <v>30</v>
      </c>
      <c r="AG298" s="60" t="s">
        <v>851</v>
      </c>
      <c r="AH298" s="60" t="s">
        <v>30</v>
      </c>
      <c r="AI298" s="60" t="s">
        <v>851</v>
      </c>
      <c r="AK298" s="60" t="s">
        <v>30</v>
      </c>
      <c r="AM298" s="60" t="s">
        <v>851</v>
      </c>
      <c r="AO298" s="60" t="s">
        <v>3974</v>
      </c>
      <c r="AQ298" s="60">
        <v>0.60943216662056854</v>
      </c>
      <c r="AS298" s="60">
        <v>0.39056783337943152</v>
      </c>
      <c r="BI298" s="60" t="s">
        <v>30</v>
      </c>
      <c r="BJ298" s="60" t="s">
        <v>851</v>
      </c>
      <c r="BK298" s="60" t="s">
        <v>30</v>
      </c>
      <c r="BL298" s="60" t="s">
        <v>851</v>
      </c>
      <c r="BM298" s="60" t="s">
        <v>30</v>
      </c>
      <c r="BN298" s="60" t="s">
        <v>851</v>
      </c>
      <c r="BO298" s="60" t="s">
        <v>30</v>
      </c>
      <c r="BP298" s="60" t="s">
        <v>851</v>
      </c>
      <c r="BQ298" s="60" t="s">
        <v>30</v>
      </c>
      <c r="BR298" s="60" t="s">
        <v>851</v>
      </c>
      <c r="BS298" s="60" t="s">
        <v>3974</v>
      </c>
      <c r="BT298" s="60">
        <v>0.67720930034886695</v>
      </c>
      <c r="BU298" s="60">
        <v>0.32279069965113305</v>
      </c>
      <c r="CI298" s="60" t="s">
        <v>30</v>
      </c>
      <c r="CJ298" s="60" t="s">
        <v>851</v>
      </c>
      <c r="CK298" s="60" t="s">
        <v>30</v>
      </c>
      <c r="CL298" s="60" t="s">
        <v>851</v>
      </c>
      <c r="CM298" s="60" t="s">
        <v>30</v>
      </c>
      <c r="CN298" s="60" t="s">
        <v>851</v>
      </c>
      <c r="CO298" s="60" t="s">
        <v>30</v>
      </c>
      <c r="CP298" s="60" t="s">
        <v>851</v>
      </c>
      <c r="CQ298" s="60" t="s">
        <v>30</v>
      </c>
      <c r="CR298" s="60" t="s">
        <v>851</v>
      </c>
      <c r="CS298" s="60" t="s">
        <v>3974</v>
      </c>
      <c r="CT298" s="60">
        <v>0.685932502155018</v>
      </c>
      <c r="CU298" s="60">
        <v>0.314067497844982</v>
      </c>
      <c r="DI298" s="60" t="s">
        <v>30</v>
      </c>
      <c r="DJ298" s="60" t="s">
        <v>851</v>
      </c>
      <c r="DK298" s="60" t="s">
        <v>30</v>
      </c>
      <c r="DL298" s="60" t="s">
        <v>851</v>
      </c>
      <c r="DM298" s="60" t="s">
        <v>30</v>
      </c>
      <c r="DN298" s="60" t="s">
        <v>851</v>
      </c>
      <c r="DO298" s="60" t="s">
        <v>30</v>
      </c>
      <c r="DP298" s="60" t="s">
        <v>851</v>
      </c>
      <c r="DQ298" s="60" t="s">
        <v>30</v>
      </c>
      <c r="DR298" s="60" t="s">
        <v>851</v>
      </c>
      <c r="DS298" s="60" t="s">
        <v>3974</v>
      </c>
      <c r="DT298" s="60">
        <v>0.69465570396116916</v>
      </c>
      <c r="DU298" s="60">
        <v>0.3053442960388309</v>
      </c>
    </row>
    <row r="299" spans="2:127" x14ac:dyDescent="0.2">
      <c r="B299" s="60" t="e">
        <f t="shared" ref="B299:I299" si="188">IF($A$264=1,AB299,IF($A$264=2,BI299,IF($A$264=3,CI299,IF($A$264=4,DI299))))</f>
        <v>#DIV/0!</v>
      </c>
      <c r="C299" s="60" t="e">
        <f t="shared" si="188"/>
        <v>#DIV/0!</v>
      </c>
      <c r="D299" s="60" t="e">
        <f t="shared" si="188"/>
        <v>#DIV/0!</v>
      </c>
      <c r="E299" s="60" t="e">
        <f t="shared" si="188"/>
        <v>#DIV/0!</v>
      </c>
      <c r="F299" s="60" t="e">
        <f t="shared" si="188"/>
        <v>#DIV/0!</v>
      </c>
      <c r="G299" s="60" t="e">
        <f t="shared" si="188"/>
        <v>#DIV/0!</v>
      </c>
      <c r="H299" s="60" t="e">
        <f t="shared" si="188"/>
        <v>#DIV/0!</v>
      </c>
      <c r="I299" s="60" t="e">
        <f t="shared" si="188"/>
        <v>#DIV/0!</v>
      </c>
      <c r="J299" s="60" t="e">
        <f>IF($A$264=1,AK299,IF($A$264=2,BQ299,IF($A$264=3,CQ299,IF($A$264=4,DQ299))))</f>
        <v>#DIV/0!</v>
      </c>
      <c r="K299" s="60" t="e">
        <f>IF($A$264=1,AM299,IF($A$264=2,BR299,IF($A$264=3,CR299,IF($A$264=4,DR299))))</f>
        <v>#DIV/0!</v>
      </c>
      <c r="L299" s="60" t="e">
        <f t="shared" si="185"/>
        <v>#DIV/0!</v>
      </c>
      <c r="M299" s="60" t="e">
        <f t="shared" si="186"/>
        <v>#DIV/0!</v>
      </c>
      <c r="N299" s="60" t="e">
        <f t="shared" si="187"/>
        <v>#DIV/0!</v>
      </c>
      <c r="AB299" s="60">
        <v>710</v>
      </c>
      <c r="AC299" s="60">
        <v>360</v>
      </c>
      <c r="AD299" s="60">
        <v>1497</v>
      </c>
      <c r="AE299" s="60">
        <v>754</v>
      </c>
      <c r="AF299" s="60">
        <v>2242</v>
      </c>
      <c r="AG299" s="60">
        <v>1168</v>
      </c>
      <c r="AH299" s="60">
        <v>3037</v>
      </c>
      <c r="AI299" s="60">
        <v>1608</v>
      </c>
      <c r="AK299" s="60">
        <v>4259</v>
      </c>
      <c r="AM299" s="60">
        <v>2065</v>
      </c>
      <c r="AO299" s="60" t="s">
        <v>3976</v>
      </c>
      <c r="AQ299" s="60">
        <v>0.58138966384728552</v>
      </c>
      <c r="AS299" s="60">
        <v>0.41861033615271454</v>
      </c>
      <c r="BI299" s="60">
        <v>923</v>
      </c>
      <c r="BJ299" s="60">
        <v>369</v>
      </c>
      <c r="BK299" s="60">
        <v>2050</v>
      </c>
      <c r="BL299" s="60">
        <v>770</v>
      </c>
      <c r="BM299" s="60">
        <v>3276</v>
      </c>
      <c r="BN299" s="60">
        <v>1210</v>
      </c>
      <c r="BO299" s="60">
        <v>4436</v>
      </c>
      <c r="BP299" s="60">
        <v>1657</v>
      </c>
      <c r="BQ299" s="60">
        <v>5693</v>
      </c>
      <c r="BR299" s="60">
        <v>2128</v>
      </c>
      <c r="BS299" s="60" t="s">
        <v>3976</v>
      </c>
      <c r="BT299" s="60">
        <v>0.65266983307268145</v>
      </c>
      <c r="BU299" s="60">
        <v>0.34733016692731844</v>
      </c>
      <c r="CI299" s="60">
        <v>1133.5</v>
      </c>
      <c r="CJ299" s="60">
        <v>424.5</v>
      </c>
      <c r="CK299" s="60">
        <v>2354</v>
      </c>
      <c r="CL299" s="60">
        <v>879.5</v>
      </c>
      <c r="CM299" s="60">
        <v>3880.5</v>
      </c>
      <c r="CN299" s="60">
        <v>1368.5</v>
      </c>
      <c r="CO299" s="60">
        <v>5393</v>
      </c>
      <c r="CP299" s="60">
        <v>1866.5</v>
      </c>
      <c r="CQ299" s="60">
        <v>6922.5</v>
      </c>
      <c r="CR299" s="60">
        <v>2415</v>
      </c>
      <c r="CS299" s="60" t="s">
        <v>3976</v>
      </c>
      <c r="CT299" s="60">
        <v>0.66263842080561164</v>
      </c>
      <c r="CU299" s="60">
        <v>0.33736157919438825</v>
      </c>
      <c r="DI299" s="60">
        <v>1344</v>
      </c>
      <c r="DJ299" s="60">
        <v>480</v>
      </c>
      <c r="DK299" s="60">
        <v>2658</v>
      </c>
      <c r="DL299" s="60">
        <v>989</v>
      </c>
      <c r="DM299" s="60">
        <v>4485</v>
      </c>
      <c r="DN299" s="60">
        <v>1527</v>
      </c>
      <c r="DO299" s="60">
        <v>6350</v>
      </c>
      <c r="DP299" s="60">
        <v>2076</v>
      </c>
      <c r="DQ299" s="60">
        <v>8152</v>
      </c>
      <c r="DR299" s="60">
        <v>2702</v>
      </c>
      <c r="DS299" s="60" t="s">
        <v>3976</v>
      </c>
      <c r="DT299" s="60">
        <v>0.67260700853854183</v>
      </c>
      <c r="DU299" s="60">
        <v>0.32739299146145806</v>
      </c>
    </row>
    <row r="300" spans="2:127" x14ac:dyDescent="0.2">
      <c r="L300" s="60" t="e">
        <f t="shared" si="185"/>
        <v>#DIV/0!</v>
      </c>
      <c r="M300" s="60" t="e">
        <f t="shared" si="186"/>
        <v>#DIV/0!</v>
      </c>
      <c r="N300" s="60" t="e">
        <f t="shared" si="187"/>
        <v>#DIV/0!</v>
      </c>
      <c r="AO300" s="60" t="s">
        <v>3977</v>
      </c>
      <c r="AQ300" s="60">
        <v>0.5625364546857794</v>
      </c>
      <c r="AS300" s="60">
        <v>0.4374635453142206</v>
      </c>
      <c r="BS300" s="60" t="s">
        <v>3977</v>
      </c>
      <c r="BT300" s="60">
        <v>0.63403275533828407</v>
      </c>
      <c r="BU300" s="60">
        <v>0.36596724466171598</v>
      </c>
      <c r="CS300" s="60" t="s">
        <v>3977</v>
      </c>
      <c r="CT300" s="60">
        <v>0.64431178453216353</v>
      </c>
      <c r="CU300" s="60">
        <v>0.35568821546783658</v>
      </c>
      <c r="DS300" s="60" t="s">
        <v>3977</v>
      </c>
      <c r="DT300" s="60">
        <v>0.654590813726043</v>
      </c>
      <c r="DU300" s="60">
        <v>0.34540918627395711</v>
      </c>
    </row>
    <row r="307" spans="1:132" ht="12.75" customHeight="1" x14ac:dyDescent="0.2">
      <c r="AA307" s="1117"/>
      <c r="AB307" s="1099" t="s">
        <v>953</v>
      </c>
      <c r="AC307" s="1115" t="s">
        <v>1266</v>
      </c>
      <c r="AD307" s="1116"/>
      <c r="AE307" s="1116"/>
      <c r="AF307" s="1116"/>
      <c r="AG307" s="1116"/>
      <c r="AH307" s="1116"/>
      <c r="AI307" s="1116"/>
      <c r="AJ307" s="1116"/>
      <c r="AK307" s="1116"/>
      <c r="AL307" s="1116"/>
      <c r="AM307" s="1116"/>
      <c r="AN307" s="1116"/>
      <c r="AO307" s="1116"/>
      <c r="AP307" s="1116"/>
      <c r="AQ307" s="1116"/>
      <c r="AR307" s="1116"/>
      <c r="AS307" s="1116"/>
      <c r="AT307" s="1116"/>
      <c r="AU307" s="1116"/>
      <c r="AV307" s="1116"/>
      <c r="AW307" s="1116"/>
      <c r="AX307" s="1116"/>
      <c r="AY307" s="1116"/>
      <c r="AZ307" s="1116"/>
      <c r="BA307" s="1099" t="s">
        <v>956</v>
      </c>
      <c r="BB307" s="1099"/>
      <c r="BH307" s="1117"/>
      <c r="BI307" s="1099" t="s">
        <v>953</v>
      </c>
      <c r="BJ307" s="1115" t="s">
        <v>1266</v>
      </c>
      <c r="BK307" s="1116"/>
      <c r="BL307" s="1116"/>
      <c r="BM307" s="1116"/>
      <c r="BN307" s="1116"/>
      <c r="BO307" s="1116"/>
      <c r="BP307" s="1116"/>
      <c r="BQ307" s="1116"/>
      <c r="BR307" s="1116"/>
      <c r="BS307" s="1116"/>
      <c r="BT307" s="1116"/>
      <c r="BU307" s="1116"/>
      <c r="BV307" s="1116"/>
      <c r="BW307" s="1116"/>
      <c r="BX307" s="1116"/>
      <c r="BY307" s="1116"/>
      <c r="BZ307" s="1116"/>
      <c r="CA307" s="1099" t="s">
        <v>956</v>
      </c>
      <c r="CB307" s="1099"/>
      <c r="CH307" s="1117"/>
      <c r="CI307" s="1099" t="s">
        <v>953</v>
      </c>
      <c r="CJ307" s="1115" t="s">
        <v>1266</v>
      </c>
      <c r="CK307" s="1116"/>
      <c r="CL307" s="1116"/>
      <c r="CM307" s="1116"/>
      <c r="CN307" s="1116"/>
      <c r="CO307" s="1116"/>
      <c r="CP307" s="1116"/>
      <c r="CQ307" s="1116"/>
      <c r="CR307" s="1116"/>
      <c r="CS307" s="1116"/>
      <c r="CT307" s="1116"/>
      <c r="CU307" s="1116"/>
      <c r="CV307" s="1116"/>
      <c r="CW307" s="1116"/>
      <c r="CX307" s="1116"/>
      <c r="CY307" s="1116"/>
      <c r="CZ307" s="1116"/>
      <c r="DA307" s="1099" t="s">
        <v>956</v>
      </c>
      <c r="DB307" s="1099"/>
      <c r="DH307" s="1117"/>
      <c r="DI307" s="1099" t="s">
        <v>953</v>
      </c>
      <c r="DJ307" s="1115" t="s">
        <v>1266</v>
      </c>
      <c r="DK307" s="1116"/>
      <c r="DL307" s="1116"/>
      <c r="DM307" s="1116"/>
      <c r="DN307" s="1116"/>
      <c r="DO307" s="1116"/>
      <c r="DP307" s="1116"/>
      <c r="DQ307" s="1116"/>
      <c r="DR307" s="1116"/>
      <c r="DS307" s="1116"/>
      <c r="DT307" s="1116"/>
      <c r="DU307" s="1116"/>
      <c r="DV307" s="1116"/>
      <c r="DW307" s="1116"/>
      <c r="DX307" s="1116"/>
      <c r="DY307" s="1116"/>
      <c r="DZ307" s="1116"/>
      <c r="EA307" s="1099" t="s">
        <v>956</v>
      </c>
      <c r="EB307" s="1099"/>
    </row>
    <row r="308" spans="1:132" ht="12.75" customHeight="1" x14ac:dyDescent="0.2">
      <c r="AA308" s="1117"/>
      <c r="AB308" s="1099"/>
      <c r="AC308" s="1116"/>
      <c r="AD308" s="1116"/>
      <c r="AE308" s="1116"/>
      <c r="AF308" s="1116"/>
      <c r="AG308" s="1116"/>
      <c r="AH308" s="1116"/>
      <c r="AI308" s="1116"/>
      <c r="AJ308" s="1116"/>
      <c r="AK308" s="1116"/>
      <c r="AL308" s="1116"/>
      <c r="AM308" s="1116"/>
      <c r="AN308" s="1116"/>
      <c r="AO308" s="1116"/>
      <c r="AP308" s="1116"/>
      <c r="AQ308" s="1116"/>
      <c r="AR308" s="1116"/>
      <c r="AS308" s="1116"/>
      <c r="AT308" s="1116"/>
      <c r="AU308" s="1116"/>
      <c r="AV308" s="1116"/>
      <c r="AW308" s="1116"/>
      <c r="AX308" s="1116"/>
      <c r="AY308" s="1116"/>
      <c r="AZ308" s="1116"/>
      <c r="BA308" s="1099"/>
      <c r="BB308" s="1099"/>
      <c r="BH308" s="1117"/>
      <c r="BI308" s="1099"/>
      <c r="BJ308" s="1116"/>
      <c r="BK308" s="1116"/>
      <c r="BL308" s="1116"/>
      <c r="BM308" s="1116"/>
      <c r="BN308" s="1116"/>
      <c r="BO308" s="1116"/>
      <c r="BP308" s="1116"/>
      <c r="BQ308" s="1116"/>
      <c r="BR308" s="1116"/>
      <c r="BS308" s="1116"/>
      <c r="BT308" s="1116"/>
      <c r="BU308" s="1116"/>
      <c r="BV308" s="1116"/>
      <c r="BW308" s="1116"/>
      <c r="BX308" s="1116"/>
      <c r="BY308" s="1116"/>
      <c r="BZ308" s="1116"/>
      <c r="CA308" s="1099"/>
      <c r="CB308" s="1099"/>
      <c r="CH308" s="1117"/>
      <c r="CI308" s="1099"/>
      <c r="CJ308" s="1116"/>
      <c r="CK308" s="1116"/>
      <c r="CL308" s="1116"/>
      <c r="CM308" s="1116"/>
      <c r="CN308" s="1116"/>
      <c r="CO308" s="1116"/>
      <c r="CP308" s="1116"/>
      <c r="CQ308" s="1116"/>
      <c r="CR308" s="1116"/>
      <c r="CS308" s="1116"/>
      <c r="CT308" s="1116"/>
      <c r="CU308" s="1116"/>
      <c r="CV308" s="1116"/>
      <c r="CW308" s="1116"/>
      <c r="CX308" s="1116"/>
      <c r="CY308" s="1116"/>
      <c r="CZ308" s="1116"/>
      <c r="DA308" s="1099"/>
      <c r="DB308" s="1099"/>
      <c r="DH308" s="1117"/>
      <c r="DI308" s="1099"/>
      <c r="DJ308" s="1116"/>
      <c r="DK308" s="1116"/>
      <c r="DL308" s="1116"/>
      <c r="DM308" s="1116"/>
      <c r="DN308" s="1116"/>
      <c r="DO308" s="1116"/>
      <c r="DP308" s="1116"/>
      <c r="DQ308" s="1116"/>
      <c r="DR308" s="1116"/>
      <c r="DS308" s="1116"/>
      <c r="DT308" s="1116"/>
      <c r="DU308" s="1116"/>
      <c r="DV308" s="1116"/>
      <c r="DW308" s="1116"/>
      <c r="DX308" s="1116"/>
      <c r="DY308" s="1116"/>
      <c r="DZ308" s="1116"/>
      <c r="EA308" s="1099"/>
      <c r="EB308" s="1099"/>
    </row>
    <row r="309" spans="1:132" ht="12.75" customHeight="1" x14ac:dyDescent="0.2">
      <c r="AA309" s="1117"/>
      <c r="AB309" s="1118" t="s">
        <v>4155</v>
      </c>
      <c r="AC309" s="1100" t="s">
        <v>4156</v>
      </c>
      <c r="AD309" s="1098"/>
      <c r="AE309" s="1119"/>
      <c r="AF309" s="1119"/>
      <c r="AG309" s="1093" t="s">
        <v>4157</v>
      </c>
      <c r="AH309" s="1093"/>
      <c r="AI309" s="1093"/>
      <c r="AJ309" s="1093"/>
      <c r="AK309" s="1093"/>
      <c r="AL309" s="1093"/>
      <c r="AM309" s="1101"/>
      <c r="AN309" s="1101"/>
      <c r="AO309" s="1124"/>
      <c r="AP309" s="1124"/>
      <c r="AQ309" s="1117"/>
      <c r="AR309" s="1117"/>
      <c r="AS309" s="1124"/>
      <c r="AT309" s="1124"/>
      <c r="AU309" s="1124" t="s">
        <v>910</v>
      </c>
      <c r="AV309" s="1124"/>
      <c r="AW309" s="1124"/>
      <c r="AX309" s="1117"/>
      <c r="AY309" s="1093"/>
      <c r="AZ309" s="1125"/>
      <c r="BA309" s="1122" t="s">
        <v>1267</v>
      </c>
      <c r="BB309" s="1122"/>
      <c r="BH309" s="1117"/>
      <c r="BI309" s="1118" t="s">
        <v>216</v>
      </c>
      <c r="BJ309" s="1100" t="s">
        <v>4156</v>
      </c>
      <c r="BK309" s="1098"/>
      <c r="BL309" s="1119"/>
      <c r="BM309" s="1119"/>
      <c r="BN309" s="1093" t="s">
        <v>4157</v>
      </c>
      <c r="BO309" s="1093"/>
      <c r="BP309" s="1093"/>
      <c r="BQ309" s="1093"/>
      <c r="BR309" s="1101"/>
      <c r="BS309" s="1124"/>
      <c r="BT309" s="1117"/>
      <c r="BU309" s="1124"/>
      <c r="BV309" s="1124" t="s">
        <v>910</v>
      </c>
      <c r="BW309" s="1124"/>
      <c r="BX309" s="1117"/>
      <c r="BY309" s="1093"/>
      <c r="BZ309" s="1125"/>
      <c r="CA309" s="1122" t="s">
        <v>1276</v>
      </c>
      <c r="CB309" s="1122"/>
      <c r="CH309" s="1117"/>
      <c r="CI309" s="1118" t="s">
        <v>221</v>
      </c>
      <c r="CJ309" s="1100" t="s">
        <v>4156</v>
      </c>
      <c r="CK309" s="1098"/>
      <c r="CL309" s="1119"/>
      <c r="CM309" s="1119"/>
      <c r="CN309" s="1093" t="s">
        <v>4157</v>
      </c>
      <c r="CO309" s="1093"/>
      <c r="CP309" s="1093"/>
      <c r="CQ309" s="1093"/>
      <c r="CR309" s="1101"/>
      <c r="CS309" s="1124"/>
      <c r="CT309" s="1117"/>
      <c r="CU309" s="1124"/>
      <c r="CV309" s="1124" t="s">
        <v>910</v>
      </c>
      <c r="CW309" s="1124"/>
      <c r="CX309" s="1117"/>
      <c r="CY309" s="1093"/>
      <c r="CZ309" s="1125"/>
      <c r="DA309" s="1122" t="s">
        <v>1279</v>
      </c>
      <c r="DB309" s="1122"/>
      <c r="DH309" s="1117"/>
      <c r="DI309" s="1118" t="s">
        <v>228</v>
      </c>
      <c r="DJ309" s="1100" t="s">
        <v>4156</v>
      </c>
      <c r="DK309" s="1098"/>
      <c r="DL309" s="1119"/>
      <c r="DM309" s="1119"/>
      <c r="DN309" s="1093" t="s">
        <v>4157</v>
      </c>
      <c r="DO309" s="1093"/>
      <c r="DP309" s="1093"/>
      <c r="DQ309" s="1093"/>
      <c r="DR309" s="1101"/>
      <c r="DS309" s="1124"/>
      <c r="DT309" s="1117"/>
      <c r="DU309" s="1124"/>
      <c r="DV309" s="1124" t="s">
        <v>910</v>
      </c>
      <c r="DW309" s="1124"/>
      <c r="DX309" s="1117"/>
      <c r="DY309" s="1093"/>
      <c r="DZ309" s="1125"/>
      <c r="EA309" s="1122" t="s">
        <v>1282</v>
      </c>
      <c r="EB309" s="1122"/>
    </row>
    <row r="310" spans="1:132" ht="12.75" customHeight="1" x14ac:dyDescent="0.2">
      <c r="AA310" s="1117"/>
      <c r="AB310" s="1127"/>
      <c r="AC310" s="1111" t="s">
        <v>1268</v>
      </c>
      <c r="AD310" s="1130"/>
      <c r="AE310" s="1101"/>
      <c r="AF310" s="1101"/>
      <c r="AG310" s="1101"/>
      <c r="AH310" s="1101"/>
      <c r="AI310" s="1101"/>
      <c r="AJ310" s="1101"/>
      <c r="AK310" s="1101"/>
      <c r="AL310" s="1101"/>
      <c r="AM310" s="1101"/>
      <c r="AN310" s="1101"/>
      <c r="AO310" s="1101"/>
      <c r="AP310" s="1101"/>
      <c r="AQ310" s="1117"/>
      <c r="AR310" s="1117"/>
      <c r="AS310" s="1093"/>
      <c r="AT310" s="1093"/>
      <c r="AU310" s="1093" t="s">
        <v>1269</v>
      </c>
      <c r="AV310" s="1093"/>
      <c r="AW310" s="1093"/>
      <c r="AX310" s="1103"/>
      <c r="AY310" s="1101"/>
      <c r="AZ310" s="1101"/>
      <c r="BA310" s="1122"/>
      <c r="BB310" s="1122"/>
      <c r="BH310" s="1117"/>
      <c r="BI310" s="1127"/>
      <c r="BJ310" s="1111" t="s">
        <v>1268</v>
      </c>
      <c r="BK310" s="1130"/>
      <c r="BL310" s="1101"/>
      <c r="BM310" s="1101"/>
      <c r="BN310" s="1101"/>
      <c r="BO310" s="1101"/>
      <c r="BP310" s="1101"/>
      <c r="BQ310" s="1101"/>
      <c r="BR310" s="1101"/>
      <c r="BS310" s="1101"/>
      <c r="BT310" s="1117"/>
      <c r="BU310" s="1093"/>
      <c r="BV310" s="1093" t="s">
        <v>1269</v>
      </c>
      <c r="BW310" s="1093"/>
      <c r="BX310" s="1103"/>
      <c r="BY310" s="1101"/>
      <c r="BZ310" s="1101"/>
      <c r="CA310" s="1122"/>
      <c r="CB310" s="1122"/>
      <c r="CH310" s="1117"/>
      <c r="CI310" s="1127"/>
      <c r="CJ310" s="1111" t="s">
        <v>1268</v>
      </c>
      <c r="CK310" s="1130"/>
      <c r="CL310" s="1101"/>
      <c r="CM310" s="1101"/>
      <c r="CN310" s="1101"/>
      <c r="CO310" s="1101"/>
      <c r="CP310" s="1101"/>
      <c r="CQ310" s="1101"/>
      <c r="CR310" s="1101"/>
      <c r="CS310" s="1101"/>
      <c r="CT310" s="1117"/>
      <c r="CU310" s="1093"/>
      <c r="CV310" s="1093" t="s">
        <v>1269</v>
      </c>
      <c r="CW310" s="1093"/>
      <c r="CX310" s="1103"/>
      <c r="CY310" s="1101"/>
      <c r="CZ310" s="1101"/>
      <c r="DA310" s="1122"/>
      <c r="DB310" s="1122"/>
      <c r="DH310" s="1117"/>
      <c r="DI310" s="1127"/>
      <c r="DJ310" s="1111" t="s">
        <v>1268</v>
      </c>
      <c r="DK310" s="1130"/>
      <c r="DL310" s="1101"/>
      <c r="DM310" s="1101"/>
      <c r="DN310" s="1101"/>
      <c r="DO310" s="1101"/>
      <c r="DP310" s="1101"/>
      <c r="DQ310" s="1101"/>
      <c r="DR310" s="1101"/>
      <c r="DS310" s="1101"/>
      <c r="DT310" s="1117"/>
      <c r="DU310" s="1093"/>
      <c r="DV310" s="1093" t="s">
        <v>1269</v>
      </c>
      <c r="DW310" s="1093"/>
      <c r="DX310" s="1103"/>
      <c r="DY310" s="1101"/>
      <c r="DZ310" s="1101"/>
      <c r="EA310" s="1122"/>
      <c r="EB310" s="1122"/>
    </row>
    <row r="311" spans="1:132" x14ac:dyDescent="0.2">
      <c r="AA311" s="1117"/>
      <c r="AB311" s="1095"/>
      <c r="AC311" s="1111"/>
      <c r="AD311" s="1097"/>
      <c r="AE311" s="1131"/>
      <c r="AF311" s="1093"/>
      <c r="AG311" s="1131"/>
      <c r="AH311" s="1131"/>
      <c r="AI311" s="1131"/>
      <c r="AJ311" s="1131"/>
      <c r="AK311" s="1131"/>
      <c r="AL311" s="1131"/>
      <c r="AM311" s="1131"/>
      <c r="AN311" s="1131"/>
      <c r="AO311" s="1131"/>
      <c r="AP311" s="1131"/>
      <c r="AQ311" s="1131"/>
      <c r="AR311" s="1131"/>
      <c r="AS311" s="1131"/>
      <c r="AT311" s="1131"/>
      <c r="AU311" s="1093"/>
      <c r="AV311" s="1093"/>
      <c r="AW311" s="1131"/>
      <c r="AX311" s="1131"/>
      <c r="AY311" s="1094"/>
      <c r="AZ311" s="1095"/>
      <c r="BA311" s="1131"/>
      <c r="BB311" s="1131"/>
      <c r="BH311" s="1117"/>
      <c r="BI311" s="1095"/>
      <c r="BJ311" s="1111"/>
      <c r="BK311" s="1097"/>
      <c r="BL311" s="1131"/>
      <c r="BM311" s="1093"/>
      <c r="BN311" s="1131"/>
      <c r="BO311" s="1131"/>
      <c r="BP311" s="1131"/>
      <c r="BQ311" s="1131"/>
      <c r="BR311" s="1131"/>
      <c r="BS311" s="1131"/>
      <c r="BT311" s="1131"/>
      <c r="BU311" s="1131"/>
      <c r="BV311" s="1093"/>
      <c r="BW311" s="1131"/>
      <c r="BX311" s="1131"/>
      <c r="BY311" s="1094"/>
      <c r="BZ311" s="1095"/>
      <c r="CA311" s="1131"/>
      <c r="CB311" s="1131"/>
      <c r="CH311" s="1117"/>
      <c r="CI311" s="1095"/>
      <c r="CJ311" s="1111"/>
      <c r="CK311" s="1097"/>
      <c r="CL311" s="1131"/>
      <c r="CM311" s="1093"/>
      <c r="CN311" s="1131"/>
      <c r="CO311" s="1131"/>
      <c r="CP311" s="1131"/>
      <c r="CQ311" s="1131"/>
      <c r="CR311" s="1131"/>
      <c r="CS311" s="1131"/>
      <c r="CT311" s="1131"/>
      <c r="CU311" s="1131"/>
      <c r="CV311" s="1093"/>
      <c r="CW311" s="1131"/>
      <c r="CX311" s="1131"/>
      <c r="CY311" s="1094"/>
      <c r="CZ311" s="1095"/>
      <c r="DA311" s="1131"/>
      <c r="DB311" s="1131"/>
      <c r="DH311" s="1117"/>
      <c r="DI311" s="1095"/>
      <c r="DJ311" s="1111"/>
      <c r="DK311" s="1097"/>
      <c r="DL311" s="1131"/>
      <c r="DM311" s="1093"/>
      <c r="DN311" s="1131"/>
      <c r="DO311" s="1131"/>
      <c r="DP311" s="1131"/>
      <c r="DQ311" s="1131"/>
      <c r="DR311" s="1131"/>
      <c r="DS311" s="1131"/>
      <c r="DT311" s="1131"/>
      <c r="DU311" s="1131"/>
      <c r="DV311" s="1093"/>
      <c r="DW311" s="1131"/>
      <c r="DX311" s="1131"/>
      <c r="DY311" s="1094"/>
      <c r="DZ311" s="1095"/>
      <c r="EA311" s="1131"/>
      <c r="EB311" s="1131"/>
    </row>
    <row r="312" spans="1:132" ht="12.75" x14ac:dyDescent="0.2">
      <c r="AA312" s="1132"/>
      <c r="AB312" s="1112"/>
      <c r="AC312" s="1112"/>
      <c r="AD312" s="1112"/>
      <c r="AE312" s="1093"/>
      <c r="AF312" s="1093"/>
      <c r="AG312" s="1093"/>
      <c r="AH312" s="1093"/>
      <c r="AI312" s="1093"/>
      <c r="AJ312" s="1093"/>
      <c r="AK312" s="1106"/>
      <c r="AL312" s="1106"/>
      <c r="AM312" s="1093"/>
      <c r="AN312" s="1093"/>
      <c r="AO312" s="1093"/>
      <c r="AP312" s="1093"/>
      <c r="AQ312" s="1093"/>
      <c r="AR312" s="1093"/>
      <c r="AS312" s="1106"/>
      <c r="AT312" s="1106"/>
      <c r="AU312" s="1112"/>
      <c r="AV312" s="1112"/>
      <c r="AW312" s="1112"/>
      <c r="AX312" s="1112"/>
      <c r="AY312" s="1112"/>
      <c r="AZ312" s="1112"/>
      <c r="BA312" s="1112"/>
      <c r="BB312" s="1112"/>
      <c r="BH312" s="1132"/>
      <c r="BI312" s="1112"/>
      <c r="BJ312" s="1112"/>
      <c r="BK312" s="1112"/>
      <c r="BL312" s="1093"/>
      <c r="BM312" s="1093"/>
      <c r="BN312" s="1093"/>
      <c r="BO312" s="1093"/>
      <c r="BP312" s="1093"/>
      <c r="BQ312" s="1106"/>
      <c r="BR312" s="1093"/>
      <c r="BS312" s="1093"/>
      <c r="BT312" s="1093"/>
      <c r="BU312" s="1106"/>
      <c r="BV312" s="1112"/>
      <c r="BW312" s="1112"/>
      <c r="BX312" s="1112"/>
      <c r="BY312" s="1112"/>
      <c r="BZ312" s="1112"/>
      <c r="CA312" s="1112"/>
      <c r="CB312" s="1112"/>
      <c r="CH312" s="1132"/>
      <c r="CI312" s="1112"/>
      <c r="CJ312" s="1112"/>
      <c r="CK312" s="1112"/>
      <c r="CL312" s="1093"/>
      <c r="CM312" s="1093"/>
      <c r="CN312" s="1093"/>
      <c r="CO312" s="1093"/>
      <c r="CP312" s="1093"/>
      <c r="CQ312" s="1106"/>
      <c r="CR312" s="1093"/>
      <c r="CS312" s="1093"/>
      <c r="CT312" s="1093"/>
      <c r="CU312" s="1106"/>
      <c r="CV312" s="1112"/>
      <c r="CW312" s="1112"/>
      <c r="CX312" s="1112"/>
      <c r="CY312" s="1112"/>
      <c r="CZ312" s="1112"/>
      <c r="DA312" s="1112"/>
      <c r="DB312" s="1112"/>
      <c r="DH312" s="1132"/>
      <c r="DI312" s="1112"/>
      <c r="DJ312" s="1112"/>
      <c r="DK312" s="1112"/>
      <c r="DL312" s="1093"/>
      <c r="DM312" s="1093"/>
      <c r="DN312" s="1093"/>
      <c r="DO312" s="1093"/>
      <c r="DP312" s="1093"/>
      <c r="DQ312" s="1106"/>
      <c r="DR312" s="1093"/>
      <c r="DS312" s="1093"/>
      <c r="DT312" s="1093"/>
      <c r="DU312" s="1106"/>
      <c r="DV312" s="1112"/>
      <c r="DW312" s="1112"/>
      <c r="DX312" s="1112"/>
      <c r="DY312" s="1112"/>
      <c r="DZ312" s="1112"/>
      <c r="EA312" s="1112"/>
      <c r="EB312" s="1112"/>
    </row>
    <row r="313" spans="1:132" ht="12.75" x14ac:dyDescent="0.2">
      <c r="AA313" s="1134"/>
      <c r="AB313" s="1093" t="s">
        <v>3990</v>
      </c>
      <c r="AC313" s="1124"/>
      <c r="AD313" s="1124"/>
      <c r="AE313" s="1124"/>
      <c r="AF313" s="1124"/>
      <c r="AG313" s="1124"/>
      <c r="AH313" s="1133"/>
      <c r="AI313" s="1093" t="s">
        <v>3960</v>
      </c>
      <c r="AJ313" s="1093"/>
      <c r="AK313" s="1124"/>
      <c r="AL313" s="1124"/>
      <c r="AM313" s="1124"/>
      <c r="AN313" s="1124"/>
      <c r="AO313" s="1124"/>
      <c r="AP313" s="1124"/>
      <c r="AQ313" s="1124"/>
      <c r="AR313" s="1124"/>
      <c r="AS313" s="1124"/>
      <c r="AT313" s="1124"/>
      <c r="AU313" s="1097"/>
      <c r="AV313" s="1097"/>
      <c r="AW313" s="1093" t="s">
        <v>3961</v>
      </c>
      <c r="AX313" s="1124"/>
      <c r="AY313" s="1124"/>
      <c r="AZ313" s="1124"/>
      <c r="BA313" s="1124"/>
      <c r="BB313" s="1124"/>
      <c r="BH313" s="1134"/>
      <c r="BI313" s="1093" t="s">
        <v>3990</v>
      </c>
      <c r="BJ313" s="1124"/>
      <c r="BK313" s="1124"/>
      <c r="BL313" s="1124"/>
      <c r="BM313" s="1124"/>
      <c r="BN313" s="1124"/>
      <c r="BO313" s="1133"/>
      <c r="BP313" s="1093" t="s">
        <v>3960</v>
      </c>
      <c r="BQ313" s="1124"/>
      <c r="BR313" s="1124"/>
      <c r="BS313" s="1124"/>
      <c r="BT313" s="1124"/>
      <c r="BU313" s="1124"/>
      <c r="BV313" s="1097"/>
      <c r="BW313" s="1093" t="s">
        <v>3961</v>
      </c>
      <c r="BX313" s="1124"/>
      <c r="BY313" s="1124"/>
      <c r="BZ313" s="1124"/>
      <c r="CA313" s="1124"/>
      <c r="CB313" s="1124"/>
      <c r="CH313" s="1134"/>
      <c r="CI313" s="1093" t="s">
        <v>3990</v>
      </c>
      <c r="CJ313" s="1124"/>
      <c r="CK313" s="1124"/>
      <c r="CL313" s="1124"/>
      <c r="CM313" s="1124"/>
      <c r="CN313" s="1124"/>
      <c r="CO313" s="1133"/>
      <c r="CP313" s="1093" t="s">
        <v>3960</v>
      </c>
      <c r="CQ313" s="1124"/>
      <c r="CR313" s="1124"/>
      <c r="CS313" s="1124"/>
      <c r="CT313" s="1124"/>
      <c r="CU313" s="1124"/>
      <c r="CV313" s="1097"/>
      <c r="CW313" s="1093" t="s">
        <v>3961</v>
      </c>
      <c r="CX313" s="1124"/>
      <c r="CY313" s="1124"/>
      <c r="CZ313" s="1124"/>
      <c r="DA313" s="1124"/>
      <c r="DB313" s="1124"/>
      <c r="DH313" s="1134"/>
      <c r="DI313" s="1093" t="s">
        <v>3990</v>
      </c>
      <c r="DJ313" s="1124"/>
      <c r="DK313" s="1124"/>
      <c r="DL313" s="1124"/>
      <c r="DM313" s="1124"/>
      <c r="DN313" s="1124"/>
      <c r="DO313" s="1133"/>
      <c r="DP313" s="1093" t="s">
        <v>3960</v>
      </c>
      <c r="DQ313" s="1124"/>
      <c r="DR313" s="1124"/>
      <c r="DS313" s="1124"/>
      <c r="DT313" s="1124"/>
      <c r="DU313" s="1124"/>
      <c r="DV313" s="1097"/>
      <c r="DW313" s="1093" t="s">
        <v>3961</v>
      </c>
      <c r="DX313" s="1124"/>
      <c r="DY313" s="1124"/>
      <c r="DZ313" s="1124"/>
      <c r="EA313" s="1124"/>
      <c r="EB313" s="1124"/>
    </row>
    <row r="314" spans="1:132" ht="12.75" x14ac:dyDescent="0.2">
      <c r="A314" s="60" t="e">
        <f>S27</f>
        <v>#DIV/0!</v>
      </c>
      <c r="B314" s="60" t="e">
        <f>IF($A$314=1,BA309,IF($A$314=2,CA309,IF($A$314=3,DA309,IF($A$314=4,EA309))))</f>
        <v>#DIV/0!</v>
      </c>
      <c r="C314" s="60" t="s">
        <v>1266</v>
      </c>
      <c r="AA314" s="1134"/>
      <c r="AB314" s="1124" t="s">
        <v>1270</v>
      </c>
      <c r="AC314" s="1131"/>
      <c r="AD314" s="1131"/>
      <c r="AE314" s="1131"/>
      <c r="AF314" s="1131"/>
      <c r="AG314" s="1131"/>
      <c r="AH314" s="1133"/>
      <c r="AI314" s="1124" t="s">
        <v>1270</v>
      </c>
      <c r="AJ314" s="1124"/>
      <c r="AK314" s="1131"/>
      <c r="AL314" s="1131"/>
      <c r="AM314" s="1131"/>
      <c r="AN314" s="1131"/>
      <c r="AO314" s="1131"/>
      <c r="AP314" s="1131"/>
      <c r="AQ314" s="1131"/>
      <c r="AR314" s="1131"/>
      <c r="AS314" s="1131"/>
      <c r="AT314" s="1131"/>
      <c r="AU314" s="1097"/>
      <c r="AV314" s="1097"/>
      <c r="AW314" s="1124" t="s">
        <v>1270</v>
      </c>
      <c r="AX314" s="1131"/>
      <c r="AY314" s="1131"/>
      <c r="AZ314" s="1131"/>
      <c r="BA314" s="1131"/>
      <c r="BB314" s="1131"/>
      <c r="BH314" s="1134"/>
      <c r="BI314" s="1124" t="s">
        <v>1270</v>
      </c>
      <c r="BJ314" s="1131"/>
      <c r="BK314" s="1131"/>
      <c r="BL314" s="1131"/>
      <c r="BM314" s="1131"/>
      <c r="BN314" s="1131"/>
      <c r="BO314" s="1133"/>
      <c r="BP314" s="1124" t="s">
        <v>1270</v>
      </c>
      <c r="BQ314" s="1131"/>
      <c r="BR314" s="1131"/>
      <c r="BS314" s="1131"/>
      <c r="BT314" s="1131"/>
      <c r="BU314" s="1131"/>
      <c r="BV314" s="1097"/>
      <c r="BW314" s="1124" t="s">
        <v>1270</v>
      </c>
      <c r="BX314" s="1131"/>
      <c r="BY314" s="1131"/>
      <c r="BZ314" s="1131"/>
      <c r="CA314" s="1131"/>
      <c r="CB314" s="1131"/>
      <c r="CH314" s="1134"/>
      <c r="CI314" s="1124" t="s">
        <v>1270</v>
      </c>
      <c r="CJ314" s="1131"/>
      <c r="CK314" s="1131"/>
      <c r="CL314" s="1131"/>
      <c r="CM314" s="1131"/>
      <c r="CN314" s="1131"/>
      <c r="CO314" s="1133"/>
      <c r="CP314" s="1124" t="s">
        <v>1270</v>
      </c>
      <c r="CQ314" s="1131"/>
      <c r="CR314" s="1131"/>
      <c r="CS314" s="1131"/>
      <c r="CT314" s="1131"/>
      <c r="CU314" s="1131"/>
      <c r="CV314" s="1097"/>
      <c r="CW314" s="1124" t="s">
        <v>1270</v>
      </c>
      <c r="CX314" s="1131"/>
      <c r="CY314" s="1131"/>
      <c r="CZ314" s="1131"/>
      <c r="DA314" s="1131"/>
      <c r="DB314" s="1131"/>
      <c r="DH314" s="1134"/>
      <c r="DI314" s="1124" t="s">
        <v>1270</v>
      </c>
      <c r="DJ314" s="1131"/>
      <c r="DK314" s="1131"/>
      <c r="DL314" s="1131"/>
      <c r="DM314" s="1131"/>
      <c r="DN314" s="1131"/>
      <c r="DO314" s="1133"/>
      <c r="DP314" s="1124" t="s">
        <v>1270</v>
      </c>
      <c r="DQ314" s="1131"/>
      <c r="DR314" s="1131"/>
      <c r="DS314" s="1131"/>
      <c r="DT314" s="1131"/>
      <c r="DU314" s="1131"/>
      <c r="DV314" s="1097"/>
      <c r="DW314" s="1124" t="s">
        <v>1270</v>
      </c>
      <c r="DX314" s="1131"/>
      <c r="DY314" s="1131"/>
      <c r="DZ314" s="1131"/>
      <c r="EA314" s="1131"/>
      <c r="EB314" s="1131"/>
    </row>
    <row r="315" spans="1:132" ht="12.75" x14ac:dyDescent="0.2">
      <c r="B315" s="60" t="e">
        <f t="shared" ref="B315:B326" si="189">IF($A$314=1,AB315,IF($A$314=2,BI315,IF($A$314=3,CI315,IF($A$314=4,DI315))))</f>
        <v>#DIV/0!</v>
      </c>
      <c r="C315" s="60" t="e">
        <f t="shared" ref="C315:C326" si="190">IF($A$314=1,AC315,IF($A$314=2,BJ315,IF($A$314=3,CJ315,IF($A$314=4,DJ315))))</f>
        <v>#DIV/0!</v>
      </c>
      <c r="I315" s="60" t="e">
        <f t="shared" ref="I315:I327" si="191">IF($A$314=1,AI315,IF($A$314=2,BP315,IF($A$314=3,CP315,IF($A$314=4,DP315))))</f>
        <v>#DIV/0!</v>
      </c>
      <c r="J315" s="60" t="e">
        <f t="shared" ref="J315:J327" si="192">IF($A$314=1,AK315,IF($A$314=2,BQ315,IF($A$314=3,CQ315,IF($A$314=4,DQ315))))</f>
        <v>#DIV/0!</v>
      </c>
      <c r="P315" s="60" t="e">
        <f t="shared" ref="P315:P323" si="193">IF($A$314=1,AW315,IF($A$314=2,BW315,IF($A$314=3,CW315,IF($A$314=4,DW315))))</f>
        <v>#DIV/0!</v>
      </c>
      <c r="Q315" s="60" t="e">
        <f t="shared" ref="Q315:Q323" si="194">IF($A$314=1,AX315,IF($A$314=2,BX315,IF($A$314=3,CX315,IF($A$314=4,DX315))))</f>
        <v>#DIV/0!</v>
      </c>
      <c r="AA315" s="1134"/>
      <c r="AB315" s="1131" t="s">
        <v>3068</v>
      </c>
      <c r="AC315" s="1136" t="s">
        <v>3963</v>
      </c>
      <c r="AD315" s="1137"/>
      <c r="AE315" s="1137"/>
      <c r="AF315" s="1137"/>
      <c r="AG315" s="1137"/>
      <c r="AH315" s="1097"/>
      <c r="AI315" s="1131" t="s">
        <v>3068</v>
      </c>
      <c r="AJ315" s="1131"/>
      <c r="AK315" s="1136" t="s">
        <v>3963</v>
      </c>
      <c r="AL315" s="1136"/>
      <c r="AM315" s="1137"/>
      <c r="AN315" s="1137"/>
      <c r="AO315" s="1137"/>
      <c r="AP315" s="1137"/>
      <c r="AQ315" s="1137"/>
      <c r="AR315" s="1137"/>
      <c r="AS315" s="1137"/>
      <c r="AT315" s="1137"/>
      <c r="AU315" s="1097"/>
      <c r="AV315" s="1097"/>
      <c r="AW315" s="1131" t="s">
        <v>3068</v>
      </c>
      <c r="AX315" s="1093" t="s">
        <v>3963</v>
      </c>
      <c r="AY315" s="1124"/>
      <c r="AZ315" s="1124"/>
      <c r="BA315" s="1124"/>
      <c r="BB315" s="1124"/>
      <c r="BH315" s="1134"/>
      <c r="BI315" s="1131" t="s">
        <v>3068</v>
      </c>
      <c r="BJ315" s="1136" t="s">
        <v>3963</v>
      </c>
      <c r="BK315" s="1137"/>
      <c r="BL315" s="1137"/>
      <c r="BM315" s="1137"/>
      <c r="BN315" s="1137"/>
      <c r="BO315" s="1097"/>
      <c r="BP315" s="1131" t="s">
        <v>3068</v>
      </c>
      <c r="BQ315" s="1136" t="s">
        <v>3963</v>
      </c>
      <c r="BR315" s="1137"/>
      <c r="BS315" s="1137"/>
      <c r="BT315" s="1137"/>
      <c r="BU315" s="1137"/>
      <c r="BV315" s="1097"/>
      <c r="BW315" s="1131" t="s">
        <v>3068</v>
      </c>
      <c r="BX315" s="1093" t="s">
        <v>3963</v>
      </c>
      <c r="BY315" s="1124"/>
      <c r="BZ315" s="1124"/>
      <c r="CA315" s="1124"/>
      <c r="CB315" s="1124"/>
      <c r="CH315" s="1134"/>
      <c r="CI315" s="1131" t="s">
        <v>3068</v>
      </c>
      <c r="CJ315" s="1136" t="s">
        <v>3963</v>
      </c>
      <c r="CK315" s="1137"/>
      <c r="CL315" s="1137"/>
      <c r="CM315" s="1137"/>
      <c r="CN315" s="1137"/>
      <c r="CO315" s="1097"/>
      <c r="CP315" s="1131" t="s">
        <v>3068</v>
      </c>
      <c r="CQ315" s="1136" t="s">
        <v>3963</v>
      </c>
      <c r="CR315" s="1137"/>
      <c r="CS315" s="1137"/>
      <c r="CT315" s="1137"/>
      <c r="CU315" s="1137"/>
      <c r="CV315" s="1097"/>
      <c r="CW315" s="1131" t="s">
        <v>3068</v>
      </c>
      <c r="CX315" s="1093" t="s">
        <v>3963</v>
      </c>
      <c r="CY315" s="1124"/>
      <c r="CZ315" s="1124"/>
      <c r="DA315" s="1124"/>
      <c r="DB315" s="1124"/>
      <c r="DH315" s="1134"/>
      <c r="DI315" s="1131" t="s">
        <v>3068</v>
      </c>
      <c r="DJ315" s="1136" t="s">
        <v>3963</v>
      </c>
      <c r="DK315" s="1137"/>
      <c r="DL315" s="1137"/>
      <c r="DM315" s="1137"/>
      <c r="DN315" s="1137"/>
      <c r="DO315" s="1097"/>
      <c r="DP315" s="1131" t="s">
        <v>3068</v>
      </c>
      <c r="DQ315" s="1136" t="s">
        <v>3963</v>
      </c>
      <c r="DR315" s="1137"/>
      <c r="DS315" s="1137"/>
      <c r="DT315" s="1137"/>
      <c r="DU315" s="1137"/>
      <c r="DV315" s="1097"/>
      <c r="DW315" s="1131" t="s">
        <v>3068</v>
      </c>
      <c r="DX315" s="1093" t="s">
        <v>3963</v>
      </c>
      <c r="DY315" s="1124"/>
      <c r="DZ315" s="1124"/>
      <c r="EA315" s="1124"/>
      <c r="EB315" s="1124"/>
    </row>
    <row r="316" spans="1:132" ht="12.75" x14ac:dyDescent="0.2">
      <c r="B316" s="60" t="e">
        <f t="shared" si="189"/>
        <v>#DIV/0!</v>
      </c>
      <c r="C316" s="60" t="e">
        <f t="shared" si="190"/>
        <v>#DIV/0!</v>
      </c>
      <c r="D316" s="60" t="e">
        <f t="shared" ref="D316:D326" si="195">IF($A$314=1,AD316,IF($A$314=2,BK316,IF($A$314=3,CK316,IF($A$314=4,DK316))))</f>
        <v>#DIV/0!</v>
      </c>
      <c r="E316" s="60" t="e">
        <f t="shared" ref="E316:E326" si="196">IF($A$314=1,AE316,IF($A$314=2,BL316,IF($A$314=3,CL316,IF($A$314=4,DL316))))</f>
        <v>#DIV/0!</v>
      </c>
      <c r="F316" s="60" t="e">
        <f t="shared" ref="F316:F326" si="197">IF($A$314=1,AF316,IF($A$314=2,BM316,IF($A$314=3,CM316,IF($A$314=4,DM316))))</f>
        <v>#DIV/0!</v>
      </c>
      <c r="G316" s="60" t="e">
        <f t="shared" ref="G316:G326" si="198">IF($A$314=1,AG316,IF($A$314=2,BN316,IF($A$314=3,CN316,IF($A$314=4,DN316))))</f>
        <v>#DIV/0!</v>
      </c>
      <c r="I316" s="60" t="e">
        <f t="shared" si="191"/>
        <v>#DIV/0!</v>
      </c>
      <c r="J316" s="60" t="e">
        <f t="shared" si="192"/>
        <v>#DIV/0!</v>
      </c>
      <c r="K316" s="60" t="e">
        <f t="shared" ref="K316:K327" si="199">IF($A$314=1,AM316,IF($A$314=2,BR316,IF($A$314=3,CR316,IF($A$314=4,DR316))))</f>
        <v>#DIV/0!</v>
      </c>
      <c r="L316" s="60" t="e">
        <f t="shared" ref="L316:L327" si="200">IF($A$314=1,AO316,IF($A$314=2,BS316,IF($A$314=3,CS316,IF($A$314=4,DS316))))</f>
        <v>#DIV/0!</v>
      </c>
      <c r="M316" s="60" t="e">
        <f t="shared" ref="M316:M327" si="201">IF($A$314=1,AQ316,IF($A$314=2,BT316,IF($A$314=3,CT316,IF($A$314=4,DT316))))</f>
        <v>#DIV/0!</v>
      </c>
      <c r="N316" s="60" t="e">
        <f t="shared" ref="N316:N327" si="202">IF($A$314=1,AS316,IF($A$314=2,BU316,IF($A$314=3,CU316,IF($A$314=4,DU316))))</f>
        <v>#DIV/0!</v>
      </c>
      <c r="P316" s="60" t="e">
        <f t="shared" si="193"/>
        <v>#DIV/0!</v>
      </c>
      <c r="Q316" s="60" t="e">
        <f t="shared" si="194"/>
        <v>#DIV/0!</v>
      </c>
      <c r="R316" s="60" t="e">
        <f t="shared" ref="R316:U323" si="203">IF($A$314=1,AY316,IF($A$314=2,BY316,IF($A$314=3,CY316,IF($A$314=4,DY316))))</f>
        <v>#DIV/0!</v>
      </c>
      <c r="S316" s="60" t="e">
        <f t="shared" si="203"/>
        <v>#DIV/0!</v>
      </c>
      <c r="T316" s="60" t="e">
        <f t="shared" si="203"/>
        <v>#DIV/0!</v>
      </c>
      <c r="U316" s="60" t="e">
        <f t="shared" si="203"/>
        <v>#DIV/0!</v>
      </c>
      <c r="AA316" s="1134"/>
      <c r="AB316" s="1100" t="s">
        <v>2760</v>
      </c>
      <c r="AC316" s="1139">
        <v>3000</v>
      </c>
      <c r="AD316" s="1139">
        <v>6000</v>
      </c>
      <c r="AE316" s="1139">
        <v>9000</v>
      </c>
      <c r="AF316" s="1139">
        <v>12000</v>
      </c>
      <c r="AG316" s="1139">
        <v>15000</v>
      </c>
      <c r="AH316" s="1097"/>
      <c r="AI316" s="1100" t="s">
        <v>2760</v>
      </c>
      <c r="AJ316" s="1100"/>
      <c r="AK316" s="1139">
        <v>3000</v>
      </c>
      <c r="AL316" s="1139"/>
      <c r="AM316" s="1139">
        <v>6000</v>
      </c>
      <c r="AN316" s="1139"/>
      <c r="AO316" s="1139">
        <v>9000</v>
      </c>
      <c r="AP316" s="1139"/>
      <c r="AQ316" s="1139">
        <v>12000</v>
      </c>
      <c r="AR316" s="1139"/>
      <c r="AS316" s="1139">
        <v>15000</v>
      </c>
      <c r="AT316" s="1139"/>
      <c r="AU316" s="1097"/>
      <c r="AV316" s="1097"/>
      <c r="AW316" s="1093" t="s">
        <v>3964</v>
      </c>
      <c r="AX316" s="1107">
        <v>3000</v>
      </c>
      <c r="AY316" s="1107">
        <v>6000</v>
      </c>
      <c r="AZ316" s="1107">
        <v>9000</v>
      </c>
      <c r="BA316" s="1107">
        <v>12000</v>
      </c>
      <c r="BB316" s="1107">
        <v>15000</v>
      </c>
      <c r="BH316" s="1134"/>
      <c r="BI316" s="1100" t="s">
        <v>2760</v>
      </c>
      <c r="BJ316" s="1139">
        <v>3000</v>
      </c>
      <c r="BK316" s="1139">
        <v>6000</v>
      </c>
      <c r="BL316" s="1139">
        <v>9000</v>
      </c>
      <c r="BM316" s="1139">
        <v>12000</v>
      </c>
      <c r="BN316" s="1139">
        <v>15000</v>
      </c>
      <c r="BO316" s="1097"/>
      <c r="BP316" s="1100" t="s">
        <v>2760</v>
      </c>
      <c r="BQ316" s="1139">
        <v>3000</v>
      </c>
      <c r="BR316" s="1139">
        <v>6000</v>
      </c>
      <c r="BS316" s="1139">
        <v>9000</v>
      </c>
      <c r="BT316" s="1139">
        <v>12000</v>
      </c>
      <c r="BU316" s="1139">
        <v>15000</v>
      </c>
      <c r="BV316" s="1097"/>
      <c r="BW316" s="1093" t="s">
        <v>3964</v>
      </c>
      <c r="BX316" s="1107">
        <v>3000</v>
      </c>
      <c r="BY316" s="1107">
        <v>6000</v>
      </c>
      <c r="BZ316" s="1107">
        <v>9000</v>
      </c>
      <c r="CA316" s="1107">
        <v>12000</v>
      </c>
      <c r="CB316" s="1107">
        <v>15000</v>
      </c>
      <c r="CH316" s="1134"/>
      <c r="CI316" s="1100" t="s">
        <v>2760</v>
      </c>
      <c r="CJ316" s="1139">
        <v>3000</v>
      </c>
      <c r="CK316" s="1139">
        <v>6000</v>
      </c>
      <c r="CL316" s="1139">
        <v>9000</v>
      </c>
      <c r="CM316" s="1139">
        <v>12000</v>
      </c>
      <c r="CN316" s="1139">
        <v>15000</v>
      </c>
      <c r="CO316" s="1097"/>
      <c r="CP316" s="1100" t="s">
        <v>2760</v>
      </c>
      <c r="CQ316" s="1139">
        <v>3000</v>
      </c>
      <c r="CR316" s="1139">
        <v>6000</v>
      </c>
      <c r="CS316" s="1139">
        <v>9000</v>
      </c>
      <c r="CT316" s="1139">
        <v>12000</v>
      </c>
      <c r="CU316" s="1139">
        <v>15000</v>
      </c>
      <c r="CV316" s="1097"/>
      <c r="CW316" s="1093" t="s">
        <v>3964</v>
      </c>
      <c r="CX316" s="1107">
        <v>3000</v>
      </c>
      <c r="CY316" s="1107">
        <v>6000</v>
      </c>
      <c r="CZ316" s="1107">
        <v>9000</v>
      </c>
      <c r="DA316" s="1107">
        <v>12000</v>
      </c>
      <c r="DB316" s="1107">
        <v>15000</v>
      </c>
      <c r="DH316" s="1134"/>
      <c r="DI316" s="1100" t="s">
        <v>2760</v>
      </c>
      <c r="DJ316" s="1139">
        <v>3000</v>
      </c>
      <c r="DK316" s="1139">
        <v>6000</v>
      </c>
      <c r="DL316" s="1139">
        <v>9000</v>
      </c>
      <c r="DM316" s="1139">
        <v>12000</v>
      </c>
      <c r="DN316" s="1139">
        <v>15000</v>
      </c>
      <c r="DO316" s="1097"/>
      <c r="DP316" s="1100" t="s">
        <v>2760</v>
      </c>
      <c r="DQ316" s="1139">
        <v>3000</v>
      </c>
      <c r="DR316" s="1139">
        <v>6000</v>
      </c>
      <c r="DS316" s="1139">
        <v>9000</v>
      </c>
      <c r="DT316" s="1139">
        <v>12000</v>
      </c>
      <c r="DU316" s="1139">
        <v>15000</v>
      </c>
      <c r="DV316" s="1097"/>
      <c r="DW316" s="1093" t="s">
        <v>3964</v>
      </c>
      <c r="DX316" s="1107">
        <v>3000</v>
      </c>
      <c r="DY316" s="1107">
        <v>6000</v>
      </c>
      <c r="DZ316" s="1107">
        <v>9000</v>
      </c>
      <c r="EA316" s="1107">
        <v>12000</v>
      </c>
      <c r="EB316" s="1107">
        <v>15000</v>
      </c>
    </row>
    <row r="317" spans="1:132" ht="12.75" x14ac:dyDescent="0.2">
      <c r="B317" s="60" t="e">
        <f t="shared" si="189"/>
        <v>#DIV/0!</v>
      </c>
      <c r="C317" s="60" t="e">
        <f t="shared" si="190"/>
        <v>#DIV/0!</v>
      </c>
      <c r="D317" s="60" t="e">
        <f t="shared" si="195"/>
        <v>#DIV/0!</v>
      </c>
      <c r="E317" s="60" t="e">
        <f t="shared" si="196"/>
        <v>#DIV/0!</v>
      </c>
      <c r="F317" s="60" t="e">
        <f t="shared" si="197"/>
        <v>#DIV/0!</v>
      </c>
      <c r="G317" s="60" t="e">
        <f t="shared" si="198"/>
        <v>#DIV/0!</v>
      </c>
      <c r="I317" s="60" t="e">
        <f t="shared" si="191"/>
        <v>#DIV/0!</v>
      </c>
      <c r="J317" s="60" t="e">
        <f t="shared" si="192"/>
        <v>#DIV/0!</v>
      </c>
      <c r="K317" s="60" t="e">
        <f t="shared" si="199"/>
        <v>#DIV/0!</v>
      </c>
      <c r="L317" s="60" t="e">
        <f t="shared" si="200"/>
        <v>#DIV/0!</v>
      </c>
      <c r="M317" s="60" t="e">
        <f t="shared" si="201"/>
        <v>#DIV/0!</v>
      </c>
      <c r="N317" s="60" t="e">
        <f t="shared" si="202"/>
        <v>#DIV/0!</v>
      </c>
      <c r="P317" s="60" t="e">
        <f t="shared" si="193"/>
        <v>#DIV/0!</v>
      </c>
      <c r="Q317" s="60" t="e">
        <f t="shared" si="194"/>
        <v>#DIV/0!</v>
      </c>
      <c r="R317" s="60" t="e">
        <f t="shared" si="203"/>
        <v>#DIV/0!</v>
      </c>
      <c r="S317" s="60" t="e">
        <f t="shared" si="203"/>
        <v>#DIV/0!</v>
      </c>
      <c r="T317" s="60" t="e">
        <f t="shared" si="203"/>
        <v>#DIV/0!</v>
      </c>
      <c r="U317" s="60" t="e">
        <f t="shared" si="203"/>
        <v>#DIV/0!</v>
      </c>
      <c r="AA317" s="1134"/>
      <c r="AB317" s="1159">
        <v>-10</v>
      </c>
      <c r="AC317" s="1160" t="s">
        <v>1714</v>
      </c>
      <c r="AD317" s="1160" t="s">
        <v>1714</v>
      </c>
      <c r="AE317" s="1160" t="s">
        <v>1714</v>
      </c>
      <c r="AF317" s="1160" t="s">
        <v>1714</v>
      </c>
      <c r="AG317" s="1160" t="s">
        <v>1714</v>
      </c>
      <c r="AH317" s="1097"/>
      <c r="AI317" s="1159">
        <v>-10</v>
      </c>
      <c r="AJ317" s="1159"/>
      <c r="AK317" s="1160" t="s">
        <v>1714</v>
      </c>
      <c r="AL317" s="1160"/>
      <c r="AM317" s="1160" t="s">
        <v>1714</v>
      </c>
      <c r="AN317" s="1160"/>
      <c r="AO317" s="1160" t="s">
        <v>1714</v>
      </c>
      <c r="AP317" s="1160"/>
      <c r="AQ317" s="1160" t="s">
        <v>1714</v>
      </c>
      <c r="AR317" s="1160"/>
      <c r="AS317" s="1160" t="s">
        <v>1714</v>
      </c>
      <c r="AT317" s="1160"/>
      <c r="AU317" s="1097"/>
      <c r="AV317" s="1097"/>
      <c r="AW317" s="1106">
        <v>10</v>
      </c>
      <c r="AX317" s="1141">
        <v>0</v>
      </c>
      <c r="AY317" s="1141">
        <v>0</v>
      </c>
      <c r="AZ317" s="1141">
        <v>0</v>
      </c>
      <c r="BA317" s="1141">
        <v>0</v>
      </c>
      <c r="BB317" s="1141">
        <v>0</v>
      </c>
      <c r="BH317" s="1134"/>
      <c r="BI317" s="1159">
        <v>-10</v>
      </c>
      <c r="BJ317" s="1160" t="s">
        <v>1714</v>
      </c>
      <c r="BK317" s="1160" t="s">
        <v>1714</v>
      </c>
      <c r="BL317" s="1160" t="s">
        <v>1714</v>
      </c>
      <c r="BM317" s="1160" t="s">
        <v>1714</v>
      </c>
      <c r="BN317" s="1160" t="s">
        <v>1714</v>
      </c>
      <c r="BO317" s="1097"/>
      <c r="BP317" s="1159">
        <v>-10</v>
      </c>
      <c r="BQ317" s="1160" t="s">
        <v>1714</v>
      </c>
      <c r="BR317" s="1160" t="s">
        <v>1714</v>
      </c>
      <c r="BS317" s="1160" t="s">
        <v>1714</v>
      </c>
      <c r="BT317" s="1160" t="s">
        <v>1714</v>
      </c>
      <c r="BU317" s="1160" t="s">
        <v>1714</v>
      </c>
      <c r="BV317" s="1097"/>
      <c r="BW317" s="1106">
        <v>10</v>
      </c>
      <c r="BX317" s="1141">
        <v>0</v>
      </c>
      <c r="BY317" s="1141">
        <v>0</v>
      </c>
      <c r="BZ317" s="1141">
        <v>0</v>
      </c>
      <c r="CA317" s="1141">
        <v>0</v>
      </c>
      <c r="CB317" s="1141">
        <v>0</v>
      </c>
      <c r="CH317" s="1134"/>
      <c r="CI317" s="1159">
        <v>-10</v>
      </c>
      <c r="CJ317" s="1160" t="s">
        <v>1714</v>
      </c>
      <c r="CK317" s="1160" t="s">
        <v>1714</v>
      </c>
      <c r="CL317" s="1160" t="s">
        <v>1714</v>
      </c>
      <c r="CM317" s="1160" t="s">
        <v>1714</v>
      </c>
      <c r="CN317" s="1160" t="s">
        <v>1714</v>
      </c>
      <c r="CO317" s="1097"/>
      <c r="CP317" s="1159">
        <v>-10</v>
      </c>
      <c r="CQ317" s="1160" t="s">
        <v>1714</v>
      </c>
      <c r="CR317" s="1160" t="s">
        <v>1714</v>
      </c>
      <c r="CS317" s="1160" t="s">
        <v>1714</v>
      </c>
      <c r="CT317" s="1160" t="s">
        <v>1714</v>
      </c>
      <c r="CU317" s="1160" t="s">
        <v>1714</v>
      </c>
      <c r="CV317" s="1097"/>
      <c r="CW317" s="1106">
        <v>10</v>
      </c>
      <c r="CX317" s="1141">
        <v>0</v>
      </c>
      <c r="CY317" s="1141">
        <v>0</v>
      </c>
      <c r="CZ317" s="1141">
        <v>0</v>
      </c>
      <c r="DA317" s="1141">
        <v>0</v>
      </c>
      <c r="DB317" s="1141">
        <v>0</v>
      </c>
      <c r="DH317" s="1134"/>
      <c r="DI317" s="1159">
        <v>-10</v>
      </c>
      <c r="DJ317" s="1160" t="s">
        <v>1714</v>
      </c>
      <c r="DK317" s="1160" t="s">
        <v>1714</v>
      </c>
      <c r="DL317" s="1160" t="s">
        <v>1714</v>
      </c>
      <c r="DM317" s="1160" t="s">
        <v>1714</v>
      </c>
      <c r="DN317" s="1160" t="s">
        <v>1714</v>
      </c>
      <c r="DO317" s="1097"/>
      <c r="DP317" s="1159">
        <v>-10</v>
      </c>
      <c r="DQ317" s="1160" t="s">
        <v>1714</v>
      </c>
      <c r="DR317" s="1160" t="s">
        <v>1714</v>
      </c>
      <c r="DS317" s="1160" t="s">
        <v>1714</v>
      </c>
      <c r="DT317" s="1160" t="s">
        <v>1714</v>
      </c>
      <c r="DU317" s="1160" t="s">
        <v>1714</v>
      </c>
      <c r="DV317" s="1097"/>
      <c r="DW317" s="1106">
        <v>10</v>
      </c>
      <c r="DX317" s="1141">
        <v>0</v>
      </c>
      <c r="DY317" s="1141">
        <v>0</v>
      </c>
      <c r="DZ317" s="1141">
        <v>0</v>
      </c>
      <c r="EA317" s="1141">
        <v>0</v>
      </c>
      <c r="EB317" s="1141">
        <v>0</v>
      </c>
    </row>
    <row r="318" spans="1:132" ht="12.75" x14ac:dyDescent="0.2">
      <c r="B318" s="60" t="e">
        <f t="shared" si="189"/>
        <v>#DIV/0!</v>
      </c>
      <c r="C318" s="60" t="e">
        <f t="shared" si="190"/>
        <v>#DIV/0!</v>
      </c>
      <c r="D318" s="60" t="e">
        <f t="shared" si="195"/>
        <v>#DIV/0!</v>
      </c>
      <c r="E318" s="60" t="e">
        <f t="shared" si="196"/>
        <v>#DIV/0!</v>
      </c>
      <c r="F318" s="60" t="e">
        <f t="shared" si="197"/>
        <v>#DIV/0!</v>
      </c>
      <c r="G318" s="60" t="e">
        <f t="shared" si="198"/>
        <v>#DIV/0!</v>
      </c>
      <c r="I318" s="60" t="e">
        <f t="shared" si="191"/>
        <v>#DIV/0!</v>
      </c>
      <c r="J318" s="60" t="e">
        <f t="shared" si="192"/>
        <v>#DIV/0!</v>
      </c>
      <c r="K318" s="60" t="e">
        <f t="shared" si="199"/>
        <v>#DIV/0!</v>
      </c>
      <c r="L318" s="60" t="e">
        <f t="shared" si="200"/>
        <v>#DIV/0!</v>
      </c>
      <c r="M318" s="60" t="e">
        <f t="shared" si="201"/>
        <v>#DIV/0!</v>
      </c>
      <c r="N318" s="60" t="e">
        <f t="shared" si="202"/>
        <v>#DIV/0!</v>
      </c>
      <c r="P318" s="60" t="e">
        <f t="shared" si="193"/>
        <v>#DIV/0!</v>
      </c>
      <c r="Q318" s="60" t="e">
        <f t="shared" si="194"/>
        <v>#DIV/0!</v>
      </c>
      <c r="R318" s="60" t="e">
        <f t="shared" si="203"/>
        <v>#DIV/0!</v>
      </c>
      <c r="S318" s="60" t="e">
        <f t="shared" si="203"/>
        <v>#DIV/0!</v>
      </c>
      <c r="T318" s="60" t="e">
        <f t="shared" si="203"/>
        <v>#DIV/0!</v>
      </c>
      <c r="U318" s="60" t="e">
        <f t="shared" si="203"/>
        <v>#DIV/0!</v>
      </c>
      <c r="AA318" s="1134"/>
      <c r="AB318" s="1159">
        <v>0</v>
      </c>
      <c r="AC318" s="1160" t="s">
        <v>1714</v>
      </c>
      <c r="AD318" s="1160" t="s">
        <v>1714</v>
      </c>
      <c r="AE318" s="1160" t="s">
        <v>1714</v>
      </c>
      <c r="AF318" s="1160" t="s">
        <v>1714</v>
      </c>
      <c r="AG318" s="1160" t="s">
        <v>1714</v>
      </c>
      <c r="AH318" s="1097"/>
      <c r="AI318" s="1159">
        <v>0</v>
      </c>
      <c r="AJ318" s="1159"/>
      <c r="AK318" s="1160" t="s">
        <v>1714</v>
      </c>
      <c r="AL318" s="1160"/>
      <c r="AM318" s="1160" t="s">
        <v>1714</v>
      </c>
      <c r="AN318" s="1160"/>
      <c r="AO318" s="1160" t="s">
        <v>1714</v>
      </c>
      <c r="AP318" s="1160"/>
      <c r="AQ318" s="1160" t="s">
        <v>1714</v>
      </c>
      <c r="AR318" s="1160"/>
      <c r="AS318" s="1160" t="s">
        <v>1714</v>
      </c>
      <c r="AT318" s="1160"/>
      <c r="AU318" s="1097"/>
      <c r="AV318" s="1097"/>
      <c r="AW318" s="1106">
        <v>20</v>
      </c>
      <c r="AX318" s="1141">
        <v>0</v>
      </c>
      <c r="AY318" s="1141">
        <v>0</v>
      </c>
      <c r="AZ318" s="1141">
        <v>0</v>
      </c>
      <c r="BA318" s="1141">
        <v>0</v>
      </c>
      <c r="BB318" s="1141">
        <v>0</v>
      </c>
      <c r="BH318" s="1134"/>
      <c r="BI318" s="1159">
        <v>0</v>
      </c>
      <c r="BJ318" s="1160" t="s">
        <v>1714</v>
      </c>
      <c r="BK318" s="1160" t="s">
        <v>1714</v>
      </c>
      <c r="BL318" s="1160" t="s">
        <v>1714</v>
      </c>
      <c r="BM318" s="1160" t="s">
        <v>1714</v>
      </c>
      <c r="BN318" s="1160" t="s">
        <v>1714</v>
      </c>
      <c r="BO318" s="1097"/>
      <c r="BP318" s="1159">
        <v>0</v>
      </c>
      <c r="BQ318" s="1160" t="s">
        <v>1714</v>
      </c>
      <c r="BR318" s="1160" t="s">
        <v>1714</v>
      </c>
      <c r="BS318" s="1160" t="s">
        <v>1714</v>
      </c>
      <c r="BT318" s="1160" t="s">
        <v>1714</v>
      </c>
      <c r="BU318" s="1160" t="s">
        <v>1714</v>
      </c>
      <c r="BV318" s="1097"/>
      <c r="BW318" s="1106">
        <v>20</v>
      </c>
      <c r="BX318" s="1141">
        <v>0</v>
      </c>
      <c r="BY318" s="1141">
        <v>0</v>
      </c>
      <c r="BZ318" s="1141">
        <v>0</v>
      </c>
      <c r="CA318" s="1141">
        <v>0</v>
      </c>
      <c r="CB318" s="1141">
        <v>0</v>
      </c>
      <c r="CH318" s="1134"/>
      <c r="CI318" s="1159">
        <v>0</v>
      </c>
      <c r="CJ318" s="1160" t="s">
        <v>1714</v>
      </c>
      <c r="CK318" s="1160" t="s">
        <v>1714</v>
      </c>
      <c r="CL318" s="1160" t="s">
        <v>1714</v>
      </c>
      <c r="CM318" s="1160" t="s">
        <v>1714</v>
      </c>
      <c r="CN318" s="1160" t="s">
        <v>1714</v>
      </c>
      <c r="CO318" s="1097"/>
      <c r="CP318" s="1159">
        <v>0</v>
      </c>
      <c r="CQ318" s="1160" t="s">
        <v>1714</v>
      </c>
      <c r="CR318" s="1160" t="s">
        <v>1714</v>
      </c>
      <c r="CS318" s="1160" t="s">
        <v>1714</v>
      </c>
      <c r="CT318" s="1160" t="s">
        <v>1714</v>
      </c>
      <c r="CU318" s="1160" t="s">
        <v>1714</v>
      </c>
      <c r="CV318" s="1097"/>
      <c r="CW318" s="1106">
        <v>20</v>
      </c>
      <c r="CX318" s="1141">
        <v>0</v>
      </c>
      <c r="CY318" s="1141">
        <v>0</v>
      </c>
      <c r="CZ318" s="1141">
        <v>0</v>
      </c>
      <c r="DA318" s="1141">
        <v>0</v>
      </c>
      <c r="DB318" s="1141">
        <v>0</v>
      </c>
      <c r="DH318" s="1134"/>
      <c r="DI318" s="1159">
        <v>0</v>
      </c>
      <c r="DJ318" s="1160" t="s">
        <v>1714</v>
      </c>
      <c r="DK318" s="1160" t="s">
        <v>1714</v>
      </c>
      <c r="DL318" s="1160" t="s">
        <v>1714</v>
      </c>
      <c r="DM318" s="1160" t="s">
        <v>1714</v>
      </c>
      <c r="DN318" s="1160" t="s">
        <v>1714</v>
      </c>
      <c r="DO318" s="1097"/>
      <c r="DP318" s="1159">
        <v>0</v>
      </c>
      <c r="DQ318" s="1160" t="s">
        <v>1714</v>
      </c>
      <c r="DR318" s="1160" t="s">
        <v>1714</v>
      </c>
      <c r="DS318" s="1160" t="s">
        <v>1714</v>
      </c>
      <c r="DT318" s="1160" t="s">
        <v>1714</v>
      </c>
      <c r="DU318" s="1160" t="s">
        <v>1714</v>
      </c>
      <c r="DV318" s="1097"/>
      <c r="DW318" s="1106">
        <v>20</v>
      </c>
      <c r="DX318" s="1141">
        <v>0</v>
      </c>
      <c r="DY318" s="1141">
        <v>0</v>
      </c>
      <c r="DZ318" s="1141">
        <v>0</v>
      </c>
      <c r="EA318" s="1141">
        <v>0</v>
      </c>
      <c r="EB318" s="1141">
        <v>0</v>
      </c>
    </row>
    <row r="319" spans="1:132" ht="12.75" x14ac:dyDescent="0.2">
      <c r="B319" s="60" t="e">
        <f t="shared" si="189"/>
        <v>#DIV/0!</v>
      </c>
      <c r="C319" s="60" t="e">
        <f t="shared" si="190"/>
        <v>#DIV/0!</v>
      </c>
      <c r="D319" s="60" t="e">
        <f t="shared" si="195"/>
        <v>#DIV/0!</v>
      </c>
      <c r="E319" s="60" t="e">
        <f t="shared" si="196"/>
        <v>#DIV/0!</v>
      </c>
      <c r="F319" s="60" t="e">
        <f t="shared" si="197"/>
        <v>#DIV/0!</v>
      </c>
      <c r="G319" s="60" t="e">
        <f t="shared" si="198"/>
        <v>#DIV/0!</v>
      </c>
      <c r="I319" s="60" t="e">
        <f t="shared" si="191"/>
        <v>#DIV/0!</v>
      </c>
      <c r="J319" s="60" t="e">
        <f t="shared" si="192"/>
        <v>#DIV/0!</v>
      </c>
      <c r="K319" s="60" t="e">
        <f t="shared" si="199"/>
        <v>#DIV/0!</v>
      </c>
      <c r="L319" s="60" t="e">
        <f t="shared" si="200"/>
        <v>#DIV/0!</v>
      </c>
      <c r="M319" s="60" t="e">
        <f t="shared" si="201"/>
        <v>#DIV/0!</v>
      </c>
      <c r="N319" s="60" t="e">
        <f t="shared" si="202"/>
        <v>#DIV/0!</v>
      </c>
      <c r="P319" s="60" t="e">
        <f t="shared" si="193"/>
        <v>#DIV/0!</v>
      </c>
      <c r="Q319" s="60" t="e">
        <f t="shared" si="194"/>
        <v>#DIV/0!</v>
      </c>
      <c r="R319" s="60" t="e">
        <f t="shared" si="203"/>
        <v>#DIV/0!</v>
      </c>
      <c r="S319" s="60" t="e">
        <f t="shared" si="203"/>
        <v>#DIV/0!</v>
      </c>
      <c r="T319" s="60" t="e">
        <f t="shared" si="203"/>
        <v>#DIV/0!</v>
      </c>
      <c r="U319" s="60" t="e">
        <f t="shared" si="203"/>
        <v>#DIV/0!</v>
      </c>
      <c r="AA319" s="1134"/>
      <c r="AB319" s="1159">
        <v>10</v>
      </c>
      <c r="AC319" s="1160">
        <v>0.10800000000000003</v>
      </c>
      <c r="AD319" s="1160">
        <v>0.11850000000000002</v>
      </c>
      <c r="AE319" s="1160">
        <v>0.12900000000000003</v>
      </c>
      <c r="AF319" s="1160">
        <v>0.13950000000000001</v>
      </c>
      <c r="AG319" s="1160">
        <v>0.15</v>
      </c>
      <c r="AH319" s="1097"/>
      <c r="AI319" s="1159">
        <v>10</v>
      </c>
      <c r="AJ319" s="1159"/>
      <c r="AK319" s="1160">
        <v>-6.4500000000000002E-2</v>
      </c>
      <c r="AL319" s="1160"/>
      <c r="AM319" s="1160">
        <v>-7.1249999999999994E-2</v>
      </c>
      <c r="AN319" s="1160"/>
      <c r="AO319" s="1160">
        <v>-7.8E-2</v>
      </c>
      <c r="AP319" s="1160"/>
      <c r="AQ319" s="1160">
        <v>-8.4749999999999992E-2</v>
      </c>
      <c r="AR319" s="1160"/>
      <c r="AS319" s="1160">
        <v>-9.1499999999999998E-2</v>
      </c>
      <c r="AT319" s="1160"/>
      <c r="AU319" s="1097"/>
      <c r="AV319" s="1097"/>
      <c r="AW319" s="1106">
        <v>30</v>
      </c>
      <c r="AX319" s="1141">
        <v>0</v>
      </c>
      <c r="AY319" s="1141">
        <v>0</v>
      </c>
      <c r="AZ319" s="1141">
        <v>0</v>
      </c>
      <c r="BA319" s="1141">
        <v>0</v>
      </c>
      <c r="BB319" s="1141">
        <v>0</v>
      </c>
      <c r="BH319" s="1134"/>
      <c r="BI319" s="1159">
        <v>10</v>
      </c>
      <c r="BJ319" s="1160">
        <v>6.6000000000000003E-2</v>
      </c>
      <c r="BK319" s="1160">
        <v>7.4624999999999997E-2</v>
      </c>
      <c r="BL319" s="1160">
        <v>8.3249999999999991E-2</v>
      </c>
      <c r="BM319" s="1160">
        <v>9.1874999999999998E-2</v>
      </c>
      <c r="BN319" s="1160">
        <v>0.10050000000000001</v>
      </c>
      <c r="BO319" s="1097"/>
      <c r="BP319" s="1159">
        <v>10</v>
      </c>
      <c r="BQ319" s="1160">
        <v>-4.3499999999999997E-2</v>
      </c>
      <c r="BR319" s="1160">
        <v>-4.7624999999999994E-2</v>
      </c>
      <c r="BS319" s="1160">
        <v>-5.174999999999999E-2</v>
      </c>
      <c r="BT319" s="1160">
        <v>-5.5874999999999994E-2</v>
      </c>
      <c r="BU319" s="1160">
        <v>-0.06</v>
      </c>
      <c r="BV319" s="1097"/>
      <c r="BW319" s="1106">
        <v>30</v>
      </c>
      <c r="BX319" s="1141">
        <v>0</v>
      </c>
      <c r="BY319" s="1141">
        <v>0</v>
      </c>
      <c r="BZ319" s="1141">
        <v>0</v>
      </c>
      <c r="CA319" s="1141">
        <v>0</v>
      </c>
      <c r="CB319" s="1141">
        <v>0</v>
      </c>
      <c r="CH319" s="1134"/>
      <c r="CI319" s="1159">
        <v>10</v>
      </c>
      <c r="CJ319" s="1160">
        <v>5.6999999999999988E-2</v>
      </c>
      <c r="CK319" s="1160">
        <v>6.2999999999999987E-2</v>
      </c>
      <c r="CL319" s="1160">
        <v>6.8999999999999992E-2</v>
      </c>
      <c r="CM319" s="1160">
        <v>7.4999999999999997E-2</v>
      </c>
      <c r="CN319" s="1160">
        <v>8.0999999999999989E-2</v>
      </c>
      <c r="CO319" s="1097"/>
      <c r="CP319" s="1159">
        <v>10</v>
      </c>
      <c r="CQ319" s="1160">
        <v>-3.7499999999999999E-2</v>
      </c>
      <c r="CR319" s="1160">
        <v>-4.0500000000000008E-2</v>
      </c>
      <c r="CS319" s="1160">
        <v>-4.3500000000000011E-2</v>
      </c>
      <c r="CT319" s="1160">
        <v>-4.6500000000000007E-2</v>
      </c>
      <c r="CU319" s="1160">
        <v>-4.9500000000000002E-2</v>
      </c>
      <c r="CV319" s="1097"/>
      <c r="CW319" s="1106">
        <v>30</v>
      </c>
      <c r="CX319" s="1141">
        <v>0</v>
      </c>
      <c r="CY319" s="1141">
        <v>0</v>
      </c>
      <c r="CZ319" s="1141">
        <v>0</v>
      </c>
      <c r="DA319" s="1141">
        <v>0</v>
      </c>
      <c r="DB319" s="1141">
        <v>0</v>
      </c>
      <c r="DH319" s="1134"/>
      <c r="DI319" s="1159">
        <v>10</v>
      </c>
      <c r="DJ319" s="1160">
        <v>4.9499999999999995E-2</v>
      </c>
      <c r="DK319" s="1160">
        <v>5.5500000000000001E-2</v>
      </c>
      <c r="DL319" s="1160">
        <v>6.1499999999999999E-2</v>
      </c>
      <c r="DM319" s="1160">
        <v>6.7500000000000004E-2</v>
      </c>
      <c r="DN319" s="1160">
        <v>7.350000000000001E-2</v>
      </c>
      <c r="DO319" s="1097"/>
      <c r="DP319" s="1159">
        <v>10</v>
      </c>
      <c r="DQ319" s="1160">
        <v>-3.15E-2</v>
      </c>
      <c r="DR319" s="1160">
        <v>-3.4499999999999996E-2</v>
      </c>
      <c r="DS319" s="1160">
        <v>-3.7499999999999999E-2</v>
      </c>
      <c r="DT319" s="1160">
        <v>-4.0500000000000001E-2</v>
      </c>
      <c r="DU319" s="1160">
        <v>-4.3499999999999997E-2</v>
      </c>
      <c r="DV319" s="1097"/>
      <c r="DW319" s="1106">
        <v>30</v>
      </c>
      <c r="DX319" s="1141">
        <v>0</v>
      </c>
      <c r="DY319" s="1141">
        <v>0</v>
      </c>
      <c r="DZ319" s="1141">
        <v>0</v>
      </c>
      <c r="EA319" s="1141">
        <v>0</v>
      </c>
      <c r="EB319" s="1141">
        <v>0</v>
      </c>
    </row>
    <row r="320" spans="1:132" ht="12.75" x14ac:dyDescent="0.2">
      <c r="B320" s="60" t="e">
        <f t="shared" si="189"/>
        <v>#DIV/0!</v>
      </c>
      <c r="C320" s="60" t="e">
        <f t="shared" si="190"/>
        <v>#DIV/0!</v>
      </c>
      <c r="D320" s="60" t="e">
        <f t="shared" si="195"/>
        <v>#DIV/0!</v>
      </c>
      <c r="E320" s="60" t="e">
        <f t="shared" si="196"/>
        <v>#DIV/0!</v>
      </c>
      <c r="F320" s="60" t="e">
        <f t="shared" si="197"/>
        <v>#DIV/0!</v>
      </c>
      <c r="G320" s="60" t="e">
        <f t="shared" si="198"/>
        <v>#DIV/0!</v>
      </c>
      <c r="I320" s="60" t="e">
        <f t="shared" si="191"/>
        <v>#DIV/0!</v>
      </c>
      <c r="J320" s="60" t="e">
        <f t="shared" si="192"/>
        <v>#DIV/0!</v>
      </c>
      <c r="K320" s="60" t="e">
        <f t="shared" si="199"/>
        <v>#DIV/0!</v>
      </c>
      <c r="L320" s="60" t="e">
        <f t="shared" si="200"/>
        <v>#DIV/0!</v>
      </c>
      <c r="M320" s="60" t="e">
        <f t="shared" si="201"/>
        <v>#DIV/0!</v>
      </c>
      <c r="N320" s="60" t="e">
        <f t="shared" si="202"/>
        <v>#DIV/0!</v>
      </c>
      <c r="P320" s="60" t="e">
        <f t="shared" si="193"/>
        <v>#DIV/0!</v>
      </c>
      <c r="Q320" s="60" t="e">
        <f t="shared" si="194"/>
        <v>#DIV/0!</v>
      </c>
      <c r="R320" s="60" t="e">
        <f t="shared" si="203"/>
        <v>#DIV/0!</v>
      </c>
      <c r="S320" s="60" t="e">
        <f t="shared" si="203"/>
        <v>#DIV/0!</v>
      </c>
      <c r="T320" s="60" t="e">
        <f t="shared" si="203"/>
        <v>#DIV/0!</v>
      </c>
      <c r="U320" s="60" t="e">
        <f t="shared" si="203"/>
        <v>#DIV/0!</v>
      </c>
      <c r="AA320" s="1134"/>
      <c r="AB320" s="1159">
        <v>20</v>
      </c>
      <c r="AC320" s="1160">
        <v>9.6000000000000016E-2</v>
      </c>
      <c r="AD320" s="1160">
        <v>0.10537500000000002</v>
      </c>
      <c r="AE320" s="1160">
        <v>0.11475000000000002</v>
      </c>
      <c r="AF320" s="1160">
        <v>0.12412500000000001</v>
      </c>
      <c r="AG320" s="1160">
        <v>0.13350000000000001</v>
      </c>
      <c r="AH320" s="1097"/>
      <c r="AI320" s="1159">
        <v>20</v>
      </c>
      <c r="AJ320" s="1159"/>
      <c r="AK320" s="1160">
        <v>-5.0250000000000003E-2</v>
      </c>
      <c r="AL320" s="1160"/>
      <c r="AM320" s="1160">
        <v>-5.5500000000000001E-2</v>
      </c>
      <c r="AN320" s="1160"/>
      <c r="AO320" s="1160">
        <v>-6.0749999999999998E-2</v>
      </c>
      <c r="AP320" s="1160"/>
      <c r="AQ320" s="1160">
        <v>-6.6000000000000003E-2</v>
      </c>
      <c r="AR320" s="1160"/>
      <c r="AS320" s="1160">
        <v>-7.1249999999999994E-2</v>
      </c>
      <c r="AT320" s="1160"/>
      <c r="AU320" s="1097"/>
      <c r="AV320" s="1097"/>
      <c r="AW320" s="1106">
        <v>40</v>
      </c>
      <c r="AX320" s="1141">
        <v>0</v>
      </c>
      <c r="AY320" s="1141">
        <v>0</v>
      </c>
      <c r="AZ320" s="1141">
        <v>0</v>
      </c>
      <c r="BA320" s="1141">
        <v>0</v>
      </c>
      <c r="BB320" s="1141">
        <v>0</v>
      </c>
      <c r="BH320" s="1134"/>
      <c r="BI320" s="1159">
        <v>20</v>
      </c>
      <c r="BJ320" s="1160">
        <v>5.8499999999999996E-2</v>
      </c>
      <c r="BK320" s="1160">
        <v>6.6187499999999996E-2</v>
      </c>
      <c r="BL320" s="1160">
        <v>7.3874999999999996E-2</v>
      </c>
      <c r="BM320" s="1160">
        <v>8.1562499999999996E-2</v>
      </c>
      <c r="BN320" s="1160">
        <v>8.9249999999999996E-2</v>
      </c>
      <c r="BO320" s="1097"/>
      <c r="BP320" s="1159">
        <v>20</v>
      </c>
      <c r="BQ320" s="1160">
        <v>-3.3750000000000002E-2</v>
      </c>
      <c r="BR320" s="1160">
        <v>-3.6937499999999998E-2</v>
      </c>
      <c r="BS320" s="1160">
        <v>-4.0124999999999994E-2</v>
      </c>
      <c r="BT320" s="1160">
        <v>-4.331249999999999E-2</v>
      </c>
      <c r="BU320" s="1160">
        <v>-4.6499999999999993E-2</v>
      </c>
      <c r="BV320" s="1097"/>
      <c r="BW320" s="1106">
        <v>40</v>
      </c>
      <c r="BX320" s="1141">
        <v>0</v>
      </c>
      <c r="BY320" s="1141">
        <v>0</v>
      </c>
      <c r="BZ320" s="1141">
        <v>0</v>
      </c>
      <c r="CA320" s="1141">
        <v>0</v>
      </c>
      <c r="CB320" s="1141">
        <v>0</v>
      </c>
      <c r="CH320" s="1134"/>
      <c r="CI320" s="1159">
        <v>20</v>
      </c>
      <c r="CJ320" s="1160">
        <v>5.099999999999999E-2</v>
      </c>
      <c r="CK320" s="1160">
        <v>5.6250000000000001E-2</v>
      </c>
      <c r="CL320" s="1160">
        <v>6.1499999999999992E-2</v>
      </c>
      <c r="CM320" s="1160">
        <v>6.674999999999999E-2</v>
      </c>
      <c r="CN320" s="1160">
        <v>7.1999999999999995E-2</v>
      </c>
      <c r="CO320" s="1097"/>
      <c r="CP320" s="1159">
        <v>20</v>
      </c>
      <c r="CQ320" s="1160">
        <v>-2.9250000000000005E-2</v>
      </c>
      <c r="CR320" s="1160">
        <v>-3.1500000000000007E-2</v>
      </c>
      <c r="CS320" s="1160">
        <v>-3.3750000000000002E-2</v>
      </c>
      <c r="CT320" s="1160">
        <v>-3.6000000000000004E-2</v>
      </c>
      <c r="CU320" s="1160">
        <v>-3.8250000000000006E-2</v>
      </c>
      <c r="CV320" s="1097"/>
      <c r="CW320" s="1106">
        <v>40</v>
      </c>
      <c r="CX320" s="1141">
        <v>0</v>
      </c>
      <c r="CY320" s="1141">
        <v>0</v>
      </c>
      <c r="CZ320" s="1141">
        <v>0</v>
      </c>
      <c r="DA320" s="1141">
        <v>0</v>
      </c>
      <c r="DB320" s="1141">
        <v>0</v>
      </c>
      <c r="DH320" s="1134"/>
      <c r="DI320" s="1159">
        <v>20</v>
      </c>
      <c r="DJ320" s="1160">
        <v>4.4249999999999998E-2</v>
      </c>
      <c r="DK320" s="1160">
        <v>4.9500000000000002E-2</v>
      </c>
      <c r="DL320" s="1160">
        <v>5.4750000000000007E-2</v>
      </c>
      <c r="DM320" s="1160">
        <v>0.06</v>
      </c>
      <c r="DN320" s="1160">
        <v>6.5250000000000002E-2</v>
      </c>
      <c r="DO320" s="1097"/>
      <c r="DP320" s="1159">
        <v>20</v>
      </c>
      <c r="DQ320" s="1160">
        <v>-2.4750000000000001E-2</v>
      </c>
      <c r="DR320" s="1160">
        <v>-2.7E-2</v>
      </c>
      <c r="DS320" s="1160">
        <v>-2.9250000000000002E-2</v>
      </c>
      <c r="DT320" s="1160">
        <v>-3.15E-2</v>
      </c>
      <c r="DU320" s="1160">
        <v>-3.3750000000000002E-2</v>
      </c>
      <c r="DV320" s="1097"/>
      <c r="DW320" s="1106">
        <v>40</v>
      </c>
      <c r="DX320" s="1141">
        <v>0</v>
      </c>
      <c r="DY320" s="1141">
        <v>0</v>
      </c>
      <c r="DZ320" s="1141">
        <v>0</v>
      </c>
      <c r="EA320" s="1141">
        <v>0</v>
      </c>
      <c r="EB320" s="1141">
        <v>0</v>
      </c>
    </row>
    <row r="321" spans="2:132" ht="12.75" x14ac:dyDescent="0.2">
      <c r="B321" s="60" t="e">
        <f t="shared" si="189"/>
        <v>#DIV/0!</v>
      </c>
      <c r="C321" s="60" t="e">
        <f t="shared" si="190"/>
        <v>#DIV/0!</v>
      </c>
      <c r="D321" s="60" t="e">
        <f t="shared" si="195"/>
        <v>#DIV/0!</v>
      </c>
      <c r="E321" s="60" t="e">
        <f t="shared" si="196"/>
        <v>#DIV/0!</v>
      </c>
      <c r="F321" s="60" t="e">
        <f t="shared" si="197"/>
        <v>#DIV/0!</v>
      </c>
      <c r="G321" s="60" t="e">
        <f t="shared" si="198"/>
        <v>#DIV/0!</v>
      </c>
      <c r="I321" s="60" t="e">
        <f t="shared" si="191"/>
        <v>#DIV/0!</v>
      </c>
      <c r="J321" s="60" t="e">
        <f t="shared" si="192"/>
        <v>#DIV/0!</v>
      </c>
      <c r="K321" s="60" t="e">
        <f t="shared" si="199"/>
        <v>#DIV/0!</v>
      </c>
      <c r="L321" s="60" t="e">
        <f t="shared" si="200"/>
        <v>#DIV/0!</v>
      </c>
      <c r="M321" s="60" t="e">
        <f t="shared" si="201"/>
        <v>#DIV/0!</v>
      </c>
      <c r="N321" s="60" t="e">
        <f t="shared" si="202"/>
        <v>#DIV/0!</v>
      </c>
      <c r="P321" s="60" t="e">
        <f t="shared" si="193"/>
        <v>#DIV/0!</v>
      </c>
      <c r="Q321" s="60" t="e">
        <f t="shared" si="194"/>
        <v>#DIV/0!</v>
      </c>
      <c r="R321" s="60" t="e">
        <f t="shared" si="203"/>
        <v>#DIV/0!</v>
      </c>
      <c r="S321" s="60" t="e">
        <f t="shared" si="203"/>
        <v>#DIV/0!</v>
      </c>
      <c r="T321" s="60" t="e">
        <f t="shared" si="203"/>
        <v>#DIV/0!</v>
      </c>
      <c r="U321" s="60" t="e">
        <f t="shared" si="203"/>
        <v>#DIV/0!</v>
      </c>
      <c r="AA321" s="1134"/>
      <c r="AB321" s="1159">
        <v>30</v>
      </c>
      <c r="AC321" s="1160">
        <v>8.4000000000000005E-2</v>
      </c>
      <c r="AD321" s="1160">
        <v>9.2249999999999999E-2</v>
      </c>
      <c r="AE321" s="1160">
        <v>0.10050000000000001</v>
      </c>
      <c r="AF321" s="1160">
        <v>0.10875</v>
      </c>
      <c r="AG321" s="1160">
        <v>0.11699999999999999</v>
      </c>
      <c r="AH321" s="1097"/>
      <c r="AI321" s="1159">
        <v>30</v>
      </c>
      <c r="AJ321" s="1159"/>
      <c r="AK321" s="1160">
        <v>-3.5999999999999997E-2</v>
      </c>
      <c r="AL321" s="1160"/>
      <c r="AM321" s="1160">
        <v>-3.9750000000000001E-2</v>
      </c>
      <c r="AN321" s="1160"/>
      <c r="AO321" s="1160">
        <v>-4.3499999999999997E-2</v>
      </c>
      <c r="AP321" s="1160"/>
      <c r="AQ321" s="1160">
        <v>-4.7249999999999993E-2</v>
      </c>
      <c r="AR321" s="1160"/>
      <c r="AS321" s="1160">
        <v>-5.099999999999999E-2</v>
      </c>
      <c r="AT321" s="1160"/>
      <c r="AU321" s="1097"/>
      <c r="AV321" s="1097"/>
      <c r="AW321" s="1106">
        <v>50</v>
      </c>
      <c r="AX321" s="1141">
        <v>0</v>
      </c>
      <c r="AY321" s="1141">
        <v>0</v>
      </c>
      <c r="AZ321" s="1141">
        <v>0</v>
      </c>
      <c r="BA321" s="1141">
        <v>0</v>
      </c>
      <c r="BB321" s="1141">
        <v>0</v>
      </c>
      <c r="BH321" s="1134"/>
      <c r="BI321" s="1159">
        <v>30</v>
      </c>
      <c r="BJ321" s="1160">
        <v>5.0999999999999997E-2</v>
      </c>
      <c r="BK321" s="1160">
        <v>5.7750000000000003E-2</v>
      </c>
      <c r="BL321" s="1160">
        <v>6.4500000000000002E-2</v>
      </c>
      <c r="BM321" s="1160">
        <v>7.1249999999999994E-2</v>
      </c>
      <c r="BN321" s="1160">
        <v>7.8000000000000014E-2</v>
      </c>
      <c r="BO321" s="1097"/>
      <c r="BP321" s="1159">
        <v>30</v>
      </c>
      <c r="BQ321" s="1160">
        <v>-2.3999999999999997E-2</v>
      </c>
      <c r="BR321" s="1160">
        <v>-2.6249999999999999E-2</v>
      </c>
      <c r="BS321" s="1160">
        <v>-2.8499999999999998E-2</v>
      </c>
      <c r="BT321" s="1160">
        <v>-3.0749999999999996E-2</v>
      </c>
      <c r="BU321" s="1160">
        <v>-3.2999999999999995E-2</v>
      </c>
      <c r="BV321" s="1097"/>
      <c r="BW321" s="1106">
        <v>50</v>
      </c>
      <c r="BX321" s="1141">
        <v>0</v>
      </c>
      <c r="BY321" s="1141">
        <v>0</v>
      </c>
      <c r="BZ321" s="1141">
        <v>0</v>
      </c>
      <c r="CA321" s="1141">
        <v>0</v>
      </c>
      <c r="CB321" s="1141">
        <v>0</v>
      </c>
      <c r="CH321" s="1134"/>
      <c r="CI321" s="1159">
        <v>30</v>
      </c>
      <c r="CJ321" s="1160">
        <v>4.4999999999999998E-2</v>
      </c>
      <c r="CK321" s="1160">
        <v>4.9499999999999995E-2</v>
      </c>
      <c r="CL321" s="1160">
        <v>5.3999999999999992E-2</v>
      </c>
      <c r="CM321" s="1160">
        <v>5.8499999999999996E-2</v>
      </c>
      <c r="CN321" s="1160">
        <v>6.3E-2</v>
      </c>
      <c r="CO321" s="1097"/>
      <c r="CP321" s="1159">
        <v>30</v>
      </c>
      <c r="CQ321" s="1160">
        <v>-2.1000000000000005E-2</v>
      </c>
      <c r="CR321" s="1160">
        <v>-2.2499999999999999E-2</v>
      </c>
      <c r="CS321" s="1160">
        <v>-2.4000000000000007E-2</v>
      </c>
      <c r="CT321" s="1160">
        <v>-2.5500000000000005E-2</v>
      </c>
      <c r="CU321" s="1160">
        <v>-2.7000000000000003E-2</v>
      </c>
      <c r="CV321" s="1097"/>
      <c r="CW321" s="1106">
        <v>50</v>
      </c>
      <c r="CX321" s="1141">
        <v>0</v>
      </c>
      <c r="CY321" s="1141">
        <v>0</v>
      </c>
      <c r="CZ321" s="1141">
        <v>0</v>
      </c>
      <c r="DA321" s="1141">
        <v>0</v>
      </c>
      <c r="DB321" s="1141">
        <v>0</v>
      </c>
      <c r="DH321" s="1134"/>
      <c r="DI321" s="1159">
        <v>30</v>
      </c>
      <c r="DJ321" s="1160">
        <v>3.9E-2</v>
      </c>
      <c r="DK321" s="1160">
        <v>4.3499999999999997E-2</v>
      </c>
      <c r="DL321" s="1160">
        <v>4.8000000000000001E-2</v>
      </c>
      <c r="DM321" s="1160">
        <v>5.2499999999999998E-2</v>
      </c>
      <c r="DN321" s="1160">
        <v>5.7000000000000002E-2</v>
      </c>
      <c r="DO321" s="1097"/>
      <c r="DP321" s="1159">
        <v>30</v>
      </c>
      <c r="DQ321" s="1160">
        <v>-1.7999999999999999E-2</v>
      </c>
      <c r="DR321" s="1160">
        <v>-1.9499999999999997E-2</v>
      </c>
      <c r="DS321" s="1160">
        <v>-2.0999999999999998E-2</v>
      </c>
      <c r="DT321" s="1160">
        <v>-2.2499999999999999E-2</v>
      </c>
      <c r="DU321" s="1160">
        <v>-2.4E-2</v>
      </c>
      <c r="DV321" s="1097"/>
      <c r="DW321" s="1106">
        <v>50</v>
      </c>
      <c r="DX321" s="1141">
        <v>0</v>
      </c>
      <c r="DY321" s="1141">
        <v>0</v>
      </c>
      <c r="DZ321" s="1141">
        <v>0</v>
      </c>
      <c r="EA321" s="1141">
        <v>0</v>
      </c>
      <c r="EB321" s="1141">
        <v>0</v>
      </c>
    </row>
    <row r="322" spans="2:132" ht="12.75" x14ac:dyDescent="0.2">
      <c r="B322" s="60" t="e">
        <f t="shared" si="189"/>
        <v>#DIV/0!</v>
      </c>
      <c r="C322" s="60" t="e">
        <f t="shared" si="190"/>
        <v>#DIV/0!</v>
      </c>
      <c r="D322" s="60" t="e">
        <f t="shared" si="195"/>
        <v>#DIV/0!</v>
      </c>
      <c r="E322" s="60" t="e">
        <f t="shared" si="196"/>
        <v>#DIV/0!</v>
      </c>
      <c r="F322" s="60" t="e">
        <f t="shared" si="197"/>
        <v>#DIV/0!</v>
      </c>
      <c r="G322" s="60" t="e">
        <f t="shared" si="198"/>
        <v>#DIV/0!</v>
      </c>
      <c r="I322" s="60" t="e">
        <f t="shared" si="191"/>
        <v>#DIV/0!</v>
      </c>
      <c r="J322" s="60" t="e">
        <f t="shared" si="192"/>
        <v>#DIV/0!</v>
      </c>
      <c r="K322" s="60" t="e">
        <f t="shared" si="199"/>
        <v>#DIV/0!</v>
      </c>
      <c r="L322" s="60" t="e">
        <f t="shared" si="200"/>
        <v>#DIV/0!</v>
      </c>
      <c r="M322" s="60" t="e">
        <f t="shared" si="201"/>
        <v>#DIV/0!</v>
      </c>
      <c r="N322" s="60" t="e">
        <f t="shared" si="202"/>
        <v>#DIV/0!</v>
      </c>
      <c r="P322" s="60" t="e">
        <f t="shared" si="193"/>
        <v>#DIV/0!</v>
      </c>
      <c r="Q322" s="60" t="e">
        <f t="shared" si="194"/>
        <v>#DIV/0!</v>
      </c>
      <c r="R322" s="60" t="e">
        <f t="shared" si="203"/>
        <v>#DIV/0!</v>
      </c>
      <c r="S322" s="60" t="e">
        <f t="shared" si="203"/>
        <v>#DIV/0!</v>
      </c>
      <c r="T322" s="60" t="e">
        <f t="shared" si="203"/>
        <v>#DIV/0!</v>
      </c>
      <c r="U322" s="60" t="e">
        <f t="shared" si="203"/>
        <v>#DIV/0!</v>
      </c>
      <c r="AA322" s="1134"/>
      <c r="AB322" s="1159">
        <v>40</v>
      </c>
      <c r="AC322" s="1160">
        <v>7.2000000000000008E-2</v>
      </c>
      <c r="AD322" s="1160">
        <v>7.9125000000000015E-2</v>
      </c>
      <c r="AE322" s="1160">
        <v>8.6249999999999993E-2</v>
      </c>
      <c r="AF322" s="1160">
        <v>9.3375000000000014E-2</v>
      </c>
      <c r="AG322" s="1160">
        <v>0.10050000000000001</v>
      </c>
      <c r="AH322" s="1097"/>
      <c r="AI322" s="1159">
        <v>40</v>
      </c>
      <c r="AJ322" s="1159"/>
      <c r="AK322" s="1160">
        <v>-2.1750000000000002E-2</v>
      </c>
      <c r="AL322" s="1160"/>
      <c r="AM322" s="1160">
        <v>-2.4E-2</v>
      </c>
      <c r="AN322" s="1160"/>
      <c r="AO322" s="1160">
        <v>-2.6249999999999999E-2</v>
      </c>
      <c r="AP322" s="1160"/>
      <c r="AQ322" s="1160">
        <v>-2.8499999999999998E-2</v>
      </c>
      <c r="AR322" s="1160"/>
      <c r="AS322" s="1160">
        <v>-3.075E-2</v>
      </c>
      <c r="AT322" s="1160"/>
      <c r="AU322" s="1097"/>
      <c r="AV322" s="1097"/>
      <c r="AW322" s="1106">
        <v>60</v>
      </c>
      <c r="AX322" s="1141">
        <v>0</v>
      </c>
      <c r="AY322" s="1141">
        <v>0</v>
      </c>
      <c r="AZ322" s="1141">
        <v>0</v>
      </c>
      <c r="BA322" s="1141">
        <v>0</v>
      </c>
      <c r="BB322" s="1141">
        <v>0</v>
      </c>
      <c r="BH322" s="1134"/>
      <c r="BI322" s="1159">
        <v>40</v>
      </c>
      <c r="BJ322" s="1160">
        <v>4.3499999999999997E-2</v>
      </c>
      <c r="BK322" s="1160">
        <v>4.9312499999999995E-2</v>
      </c>
      <c r="BL322" s="1160">
        <v>5.5125E-2</v>
      </c>
      <c r="BM322" s="1160">
        <v>6.0937499999999999E-2</v>
      </c>
      <c r="BN322" s="1160">
        <v>6.6750000000000004E-2</v>
      </c>
      <c r="BO322" s="1097"/>
      <c r="BP322" s="1159">
        <v>40</v>
      </c>
      <c r="BQ322" s="1160">
        <v>-1.4249999999999997E-2</v>
      </c>
      <c r="BR322" s="1160">
        <v>-1.5562499999999995E-2</v>
      </c>
      <c r="BS322" s="1160">
        <v>-1.6875000000000001E-2</v>
      </c>
      <c r="BT322" s="1160">
        <v>-1.8187499999999992E-2</v>
      </c>
      <c r="BU322" s="1160">
        <v>-1.9499999999999993E-2</v>
      </c>
      <c r="BV322" s="1097"/>
      <c r="BW322" s="1106">
        <v>60</v>
      </c>
      <c r="BX322" s="1141">
        <v>0</v>
      </c>
      <c r="BY322" s="1141">
        <v>0</v>
      </c>
      <c r="BZ322" s="1141">
        <v>0</v>
      </c>
      <c r="CA322" s="1141">
        <v>0</v>
      </c>
      <c r="CB322" s="1141">
        <v>0</v>
      </c>
      <c r="CH322" s="1134"/>
      <c r="CI322" s="1159">
        <v>40</v>
      </c>
      <c r="CJ322" s="1160">
        <v>3.9E-2</v>
      </c>
      <c r="CK322" s="1160">
        <v>4.2749999999999996E-2</v>
      </c>
      <c r="CL322" s="1160">
        <v>4.65E-2</v>
      </c>
      <c r="CM322" s="1160">
        <v>5.0249999999999996E-2</v>
      </c>
      <c r="CN322" s="1160">
        <v>5.3999999999999999E-2</v>
      </c>
      <c r="CO322" s="1097"/>
      <c r="CP322" s="1159">
        <v>40</v>
      </c>
      <c r="CQ322" s="1160">
        <v>-1.2750000000000004E-2</v>
      </c>
      <c r="CR322" s="1160">
        <v>-1.3500000000000003E-2</v>
      </c>
      <c r="CS322" s="1160">
        <v>-1.4250000000000002E-2</v>
      </c>
      <c r="CT322" s="1160">
        <v>-1.4999999999999999E-2</v>
      </c>
      <c r="CU322" s="1160">
        <v>-1.5750000000000004E-2</v>
      </c>
      <c r="CV322" s="1097"/>
      <c r="CW322" s="1106">
        <v>60</v>
      </c>
      <c r="CX322" s="1141">
        <v>0</v>
      </c>
      <c r="CY322" s="1141">
        <v>0</v>
      </c>
      <c r="CZ322" s="1141">
        <v>0</v>
      </c>
      <c r="DA322" s="1141">
        <v>0</v>
      </c>
      <c r="DB322" s="1141">
        <v>0</v>
      </c>
      <c r="DH322" s="1134"/>
      <c r="DI322" s="1159">
        <v>40</v>
      </c>
      <c r="DJ322" s="1160">
        <v>3.3750000000000002E-2</v>
      </c>
      <c r="DK322" s="1160">
        <v>3.7499999999999999E-2</v>
      </c>
      <c r="DL322" s="1160">
        <v>4.1250000000000002E-2</v>
      </c>
      <c r="DM322" s="1160">
        <v>4.4999999999999998E-2</v>
      </c>
      <c r="DN322" s="1160">
        <v>4.8750000000000002E-2</v>
      </c>
      <c r="DO322" s="1097"/>
      <c r="DP322" s="1159">
        <v>40</v>
      </c>
      <c r="DQ322" s="1160">
        <v>-1.125E-2</v>
      </c>
      <c r="DR322" s="1160">
        <v>-1.2E-2</v>
      </c>
      <c r="DS322" s="1160">
        <v>-1.2750000000000001E-2</v>
      </c>
      <c r="DT322" s="1160">
        <v>-1.3500000000000002E-2</v>
      </c>
      <c r="DU322" s="1160">
        <v>-1.4250000000000001E-2</v>
      </c>
      <c r="DV322" s="1097"/>
      <c r="DW322" s="1106">
        <v>60</v>
      </c>
      <c r="DX322" s="1141">
        <v>0</v>
      </c>
      <c r="DY322" s="1141">
        <v>0</v>
      </c>
      <c r="DZ322" s="1141">
        <v>0</v>
      </c>
      <c r="EA322" s="1141">
        <v>0</v>
      </c>
      <c r="EB322" s="1141">
        <v>0</v>
      </c>
    </row>
    <row r="323" spans="2:132" ht="12.75" x14ac:dyDescent="0.2">
      <c r="B323" s="60" t="e">
        <f t="shared" si="189"/>
        <v>#DIV/0!</v>
      </c>
      <c r="C323" s="60" t="e">
        <f t="shared" si="190"/>
        <v>#DIV/0!</v>
      </c>
      <c r="D323" s="60" t="e">
        <f t="shared" si="195"/>
        <v>#DIV/0!</v>
      </c>
      <c r="E323" s="60" t="e">
        <f t="shared" si="196"/>
        <v>#DIV/0!</v>
      </c>
      <c r="F323" s="60" t="e">
        <f t="shared" si="197"/>
        <v>#DIV/0!</v>
      </c>
      <c r="G323" s="60" t="e">
        <f t="shared" si="198"/>
        <v>#DIV/0!</v>
      </c>
      <c r="I323" s="60" t="e">
        <f t="shared" si="191"/>
        <v>#DIV/0!</v>
      </c>
      <c r="J323" s="60" t="e">
        <f t="shared" si="192"/>
        <v>#DIV/0!</v>
      </c>
      <c r="K323" s="60" t="e">
        <f t="shared" si="199"/>
        <v>#DIV/0!</v>
      </c>
      <c r="L323" s="60" t="e">
        <f t="shared" si="200"/>
        <v>#DIV/0!</v>
      </c>
      <c r="M323" s="60" t="e">
        <f t="shared" si="201"/>
        <v>#DIV/0!</v>
      </c>
      <c r="N323" s="60" t="e">
        <f t="shared" si="202"/>
        <v>#DIV/0!</v>
      </c>
      <c r="P323" s="60" t="e">
        <f t="shared" si="193"/>
        <v>#DIV/0!</v>
      </c>
      <c r="Q323" s="60" t="e">
        <f t="shared" si="194"/>
        <v>#DIV/0!</v>
      </c>
      <c r="R323" s="60" t="e">
        <f t="shared" si="203"/>
        <v>#DIV/0!</v>
      </c>
      <c r="S323" s="60" t="e">
        <f t="shared" si="203"/>
        <v>#DIV/0!</v>
      </c>
      <c r="T323" s="60" t="e">
        <f t="shared" si="203"/>
        <v>#DIV/0!</v>
      </c>
      <c r="U323" s="60" t="e">
        <f t="shared" si="203"/>
        <v>#DIV/0!</v>
      </c>
      <c r="AA323" s="1134"/>
      <c r="AB323" s="1159">
        <v>50</v>
      </c>
      <c r="AC323" s="1160">
        <v>0.06</v>
      </c>
      <c r="AD323" s="1160">
        <v>6.6000000000000003E-2</v>
      </c>
      <c r="AE323" s="1160">
        <v>7.2000000000000008E-2</v>
      </c>
      <c r="AF323" s="1160">
        <v>7.8E-2</v>
      </c>
      <c r="AG323" s="1160">
        <v>8.3999999999999991E-2</v>
      </c>
      <c r="AH323" s="1097"/>
      <c r="AI323" s="1159">
        <v>50</v>
      </c>
      <c r="AJ323" s="1159"/>
      <c r="AK323" s="1160">
        <v>-7.4999999999999997E-3</v>
      </c>
      <c r="AL323" s="1160"/>
      <c r="AM323" s="1160">
        <v>-8.2500000000000039E-3</v>
      </c>
      <c r="AN323" s="1160"/>
      <c r="AO323" s="1160">
        <v>-9.0000000000000045E-3</v>
      </c>
      <c r="AP323" s="1160"/>
      <c r="AQ323" s="1160">
        <v>-9.7500000000000017E-3</v>
      </c>
      <c r="AR323" s="1160"/>
      <c r="AS323" s="1160">
        <v>-1.0500000000000002E-2</v>
      </c>
      <c r="AT323" s="1160"/>
      <c r="AU323" s="1097"/>
      <c r="AV323" s="1097"/>
      <c r="AW323" s="1106">
        <v>70</v>
      </c>
      <c r="AX323" s="1141">
        <v>0</v>
      </c>
      <c r="AY323" s="1141">
        <v>0</v>
      </c>
      <c r="AZ323" s="1141">
        <v>0</v>
      </c>
      <c r="BA323" s="1141">
        <v>0</v>
      </c>
      <c r="BB323" s="1141">
        <v>0</v>
      </c>
      <c r="BH323" s="1134"/>
      <c r="BI323" s="1159">
        <v>50</v>
      </c>
      <c r="BJ323" s="1160">
        <v>3.5999999999999997E-2</v>
      </c>
      <c r="BK323" s="1160">
        <v>4.0875000000000002E-2</v>
      </c>
      <c r="BL323" s="1160">
        <v>4.5749999999999999E-2</v>
      </c>
      <c r="BM323" s="1160">
        <v>5.0625000000000003E-2</v>
      </c>
      <c r="BN323" s="1160">
        <v>5.5500000000000001E-2</v>
      </c>
      <c r="BO323" s="1097"/>
      <c r="BP323" s="1159">
        <v>50</v>
      </c>
      <c r="BQ323" s="1160">
        <v>-4.5000000000000023E-3</v>
      </c>
      <c r="BR323" s="1160">
        <v>-4.8750000000000017E-3</v>
      </c>
      <c r="BS323" s="1160">
        <v>-5.2500000000000003E-3</v>
      </c>
      <c r="BT323" s="1160">
        <v>-5.6249999999999998E-3</v>
      </c>
      <c r="BU323" s="1160">
        <v>-5.9999999999999984E-3</v>
      </c>
      <c r="BV323" s="1097"/>
      <c r="BW323" s="1106">
        <v>70</v>
      </c>
      <c r="BX323" s="1141">
        <v>0</v>
      </c>
      <c r="BY323" s="1141">
        <v>0</v>
      </c>
      <c r="BZ323" s="1141">
        <v>0</v>
      </c>
      <c r="CA323" s="1141">
        <v>0</v>
      </c>
      <c r="CB323" s="1141">
        <v>0</v>
      </c>
      <c r="CH323" s="1134"/>
      <c r="CI323" s="1159">
        <v>50</v>
      </c>
      <c r="CJ323" s="1160">
        <v>3.3000000000000002E-2</v>
      </c>
      <c r="CK323" s="1160">
        <v>3.5999999999999997E-2</v>
      </c>
      <c r="CL323" s="1160">
        <v>3.9E-2</v>
      </c>
      <c r="CM323" s="1160">
        <v>4.1999999999999996E-2</v>
      </c>
      <c r="CN323" s="1160">
        <v>4.4999999999999998E-2</v>
      </c>
      <c r="CO323" s="1097"/>
      <c r="CP323" s="1159">
        <v>50</v>
      </c>
      <c r="CQ323" s="1160">
        <v>-4.500000000000004E-3</v>
      </c>
      <c r="CR323" s="1160">
        <v>-4.500000000000004E-3</v>
      </c>
      <c r="CS323" s="1160">
        <v>-4.500000000000004E-3</v>
      </c>
      <c r="CT323" s="1160">
        <v>-4.500000000000004E-3</v>
      </c>
      <c r="CU323" s="1160">
        <v>-4.500000000000004E-3</v>
      </c>
      <c r="CV323" s="1097"/>
      <c r="CW323" s="1106">
        <v>70</v>
      </c>
      <c r="CX323" s="1141">
        <v>0</v>
      </c>
      <c r="CY323" s="1141">
        <v>0</v>
      </c>
      <c r="CZ323" s="1141">
        <v>0</v>
      </c>
      <c r="DA323" s="1141">
        <v>0</v>
      </c>
      <c r="DB323" s="1141">
        <v>0</v>
      </c>
      <c r="DH323" s="1134"/>
      <c r="DI323" s="1159">
        <v>50</v>
      </c>
      <c r="DJ323" s="1160">
        <v>2.8499999999999994E-2</v>
      </c>
      <c r="DK323" s="1160">
        <v>3.1499999999999993E-2</v>
      </c>
      <c r="DL323" s="1160">
        <v>3.4499999999999996E-2</v>
      </c>
      <c r="DM323" s="1160">
        <v>3.7499999999999999E-2</v>
      </c>
      <c r="DN323" s="1160">
        <v>4.0499999999999994E-2</v>
      </c>
      <c r="DO323" s="1097"/>
      <c r="DP323" s="1159">
        <v>50</v>
      </c>
      <c r="DQ323" s="1160">
        <v>-4.4999999999999971E-3</v>
      </c>
      <c r="DR323" s="1160">
        <v>-4.4999999999999971E-3</v>
      </c>
      <c r="DS323" s="1160">
        <v>-4.4999999999999971E-3</v>
      </c>
      <c r="DT323" s="1160">
        <v>-4.4999999999999971E-3</v>
      </c>
      <c r="DU323" s="1160">
        <v>-4.4999999999999971E-3</v>
      </c>
      <c r="DV323" s="1097"/>
      <c r="DW323" s="1106">
        <v>70</v>
      </c>
      <c r="DX323" s="1141">
        <v>0</v>
      </c>
      <c r="DY323" s="1141">
        <v>0</v>
      </c>
      <c r="DZ323" s="1141">
        <v>0</v>
      </c>
      <c r="EA323" s="1141">
        <v>0</v>
      </c>
      <c r="EB323" s="1141">
        <v>0</v>
      </c>
    </row>
    <row r="324" spans="2:132" ht="12.75" x14ac:dyDescent="0.2">
      <c r="B324" s="60" t="e">
        <f t="shared" si="189"/>
        <v>#DIV/0!</v>
      </c>
      <c r="C324" s="60" t="e">
        <f t="shared" si="190"/>
        <v>#DIV/0!</v>
      </c>
      <c r="D324" s="60" t="e">
        <f t="shared" si="195"/>
        <v>#DIV/0!</v>
      </c>
      <c r="E324" s="60" t="e">
        <f t="shared" si="196"/>
        <v>#DIV/0!</v>
      </c>
      <c r="F324" s="60" t="e">
        <f t="shared" si="197"/>
        <v>#DIV/0!</v>
      </c>
      <c r="G324" s="60" t="e">
        <f t="shared" si="198"/>
        <v>#DIV/0!</v>
      </c>
      <c r="I324" s="60" t="e">
        <f t="shared" si="191"/>
        <v>#DIV/0!</v>
      </c>
      <c r="J324" s="60" t="e">
        <f t="shared" si="192"/>
        <v>#DIV/0!</v>
      </c>
      <c r="K324" s="60" t="e">
        <f t="shared" si="199"/>
        <v>#DIV/0!</v>
      </c>
      <c r="L324" s="60" t="e">
        <f t="shared" si="200"/>
        <v>#DIV/0!</v>
      </c>
      <c r="M324" s="60" t="e">
        <f t="shared" si="201"/>
        <v>#DIV/0!</v>
      </c>
      <c r="N324" s="60" t="e">
        <f t="shared" si="202"/>
        <v>#DIV/0!</v>
      </c>
      <c r="AA324" s="1134"/>
      <c r="AB324" s="1159">
        <v>60</v>
      </c>
      <c r="AC324" s="1160">
        <v>4.8000000000000008E-2</v>
      </c>
      <c r="AD324" s="1160">
        <v>5.2875000000000005E-2</v>
      </c>
      <c r="AE324" s="1160">
        <v>5.7750000000000003E-2</v>
      </c>
      <c r="AF324" s="1160">
        <v>6.2625E-2</v>
      </c>
      <c r="AG324" s="1160">
        <v>6.7500000000000004E-2</v>
      </c>
      <c r="AH324" s="1097"/>
      <c r="AI324" s="1159">
        <v>60</v>
      </c>
      <c r="AJ324" s="1159"/>
      <c r="AK324" s="1160">
        <v>6.750000000000006E-3</v>
      </c>
      <c r="AL324" s="1160"/>
      <c r="AM324" s="1160">
        <v>7.5000000000000067E-3</v>
      </c>
      <c r="AN324" s="1160"/>
      <c r="AO324" s="1160">
        <v>8.2500000000000073E-3</v>
      </c>
      <c r="AP324" s="1160"/>
      <c r="AQ324" s="1160">
        <v>9.000000000000008E-3</v>
      </c>
      <c r="AR324" s="1160"/>
      <c r="AS324" s="1160">
        <v>9.7500000000000069E-3</v>
      </c>
      <c r="AT324" s="1160"/>
      <c r="AU324" s="1097"/>
      <c r="AV324" s="1097"/>
      <c r="AW324" s="1099" t="s">
        <v>1271</v>
      </c>
      <c r="AX324" s="1143"/>
      <c r="AY324" s="1143"/>
      <c r="AZ324" s="1143"/>
      <c r="BA324" s="1143"/>
      <c r="BB324" s="1143"/>
      <c r="BH324" s="1134"/>
      <c r="BI324" s="1159">
        <v>60</v>
      </c>
      <c r="BJ324" s="1160">
        <v>2.8500000000000001E-2</v>
      </c>
      <c r="BK324" s="1160">
        <v>3.2437500000000001E-2</v>
      </c>
      <c r="BL324" s="1160">
        <v>3.6375000000000005E-2</v>
      </c>
      <c r="BM324" s="1160">
        <v>4.0312500000000001E-2</v>
      </c>
      <c r="BN324" s="1160">
        <v>4.4250000000000005E-2</v>
      </c>
      <c r="BO324" s="1097"/>
      <c r="BP324" s="1159">
        <v>60</v>
      </c>
      <c r="BQ324" s="1160">
        <v>5.2499999999999977E-3</v>
      </c>
      <c r="BR324" s="1160">
        <v>5.8124999999999991E-3</v>
      </c>
      <c r="BS324" s="1160">
        <v>6.3750000000000005E-3</v>
      </c>
      <c r="BT324" s="1160">
        <v>6.937500000000001E-3</v>
      </c>
      <c r="BU324" s="1160">
        <v>7.4999999999999997E-3</v>
      </c>
      <c r="BV324" s="1097"/>
      <c r="BW324" s="1099" t="s">
        <v>1271</v>
      </c>
      <c r="BX324" s="1143"/>
      <c r="BY324" s="1143"/>
      <c r="BZ324" s="1143"/>
      <c r="CA324" s="1143"/>
      <c r="CB324" s="1143"/>
      <c r="CH324" s="1134"/>
      <c r="CI324" s="1159">
        <v>60</v>
      </c>
      <c r="CJ324" s="1160">
        <v>2.7000000000000003E-2</v>
      </c>
      <c r="CK324" s="1160">
        <v>2.9250000000000002E-2</v>
      </c>
      <c r="CL324" s="1160">
        <v>3.15E-2</v>
      </c>
      <c r="CM324" s="1160">
        <v>3.3750000000000002E-2</v>
      </c>
      <c r="CN324" s="1160">
        <v>3.6000000000000004E-2</v>
      </c>
      <c r="CO324" s="1097"/>
      <c r="CP324" s="1159">
        <v>60</v>
      </c>
      <c r="CQ324" s="1160">
        <v>3.7499999999999999E-3</v>
      </c>
      <c r="CR324" s="1160">
        <v>4.4999999999999953E-3</v>
      </c>
      <c r="CS324" s="1160">
        <v>5.2499999999999951E-3</v>
      </c>
      <c r="CT324" s="1160">
        <v>5.9999999999999949E-3</v>
      </c>
      <c r="CU324" s="1160">
        <v>6.7499999999999947E-3</v>
      </c>
      <c r="CV324" s="1097"/>
      <c r="CW324" s="1099" t="s">
        <v>1271</v>
      </c>
      <c r="CX324" s="1143"/>
      <c r="CY324" s="1143"/>
      <c r="CZ324" s="1143"/>
      <c r="DA324" s="1143"/>
      <c r="DB324" s="1143"/>
      <c r="DH324" s="1134"/>
      <c r="DI324" s="1159">
        <v>60</v>
      </c>
      <c r="DJ324" s="1160">
        <v>2.3249999999999993E-2</v>
      </c>
      <c r="DK324" s="1160">
        <v>2.5499999999999991E-2</v>
      </c>
      <c r="DL324" s="1160">
        <v>2.7749999999999993E-2</v>
      </c>
      <c r="DM324" s="1160">
        <v>0.03</v>
      </c>
      <c r="DN324" s="1160">
        <v>3.2249999999999994E-2</v>
      </c>
      <c r="DO324" s="1097"/>
      <c r="DP324" s="1159">
        <v>60</v>
      </c>
      <c r="DQ324" s="1160">
        <v>2.2500000000000011E-3</v>
      </c>
      <c r="DR324" s="1160">
        <v>3.0000000000000009E-3</v>
      </c>
      <c r="DS324" s="1160">
        <v>3.7499999999999999E-3</v>
      </c>
      <c r="DT324" s="1160">
        <v>4.5000000000000005E-3</v>
      </c>
      <c r="DU324" s="1160">
        <v>5.2500000000000003E-3</v>
      </c>
      <c r="DV324" s="1097"/>
      <c r="DW324" s="1099" t="s">
        <v>1271</v>
      </c>
      <c r="DX324" s="1143"/>
      <c r="DY324" s="1143"/>
      <c r="DZ324" s="1143"/>
      <c r="EA324" s="1143"/>
      <c r="EB324" s="1143"/>
    </row>
    <row r="325" spans="2:132" ht="12.75" x14ac:dyDescent="0.2">
      <c r="B325" s="60" t="e">
        <f t="shared" si="189"/>
        <v>#DIV/0!</v>
      </c>
      <c r="C325" s="60" t="e">
        <f t="shared" si="190"/>
        <v>#DIV/0!</v>
      </c>
      <c r="D325" s="60" t="e">
        <f t="shared" si="195"/>
        <v>#DIV/0!</v>
      </c>
      <c r="E325" s="60" t="e">
        <f t="shared" si="196"/>
        <v>#DIV/0!</v>
      </c>
      <c r="F325" s="60" t="e">
        <f t="shared" si="197"/>
        <v>#DIV/0!</v>
      </c>
      <c r="G325" s="60" t="e">
        <f t="shared" si="198"/>
        <v>#DIV/0!</v>
      </c>
      <c r="I325" s="60" t="e">
        <f t="shared" si="191"/>
        <v>#DIV/0!</v>
      </c>
      <c r="J325" s="60" t="e">
        <f t="shared" si="192"/>
        <v>#DIV/0!</v>
      </c>
      <c r="K325" s="60" t="e">
        <f t="shared" si="199"/>
        <v>#DIV/0!</v>
      </c>
      <c r="L325" s="60" t="e">
        <f t="shared" si="200"/>
        <v>#DIV/0!</v>
      </c>
      <c r="M325" s="60" t="e">
        <f t="shared" si="201"/>
        <v>#DIV/0!</v>
      </c>
      <c r="N325" s="60" t="e">
        <f t="shared" si="202"/>
        <v>#DIV/0!</v>
      </c>
      <c r="AA325" s="1134"/>
      <c r="AB325" s="1159">
        <v>70</v>
      </c>
      <c r="AC325" s="1160">
        <v>3.5999999999999997E-2</v>
      </c>
      <c r="AD325" s="1160">
        <v>3.9750000000000001E-2</v>
      </c>
      <c r="AE325" s="1160">
        <v>4.3499999999999997E-2</v>
      </c>
      <c r="AF325" s="1160">
        <v>4.7249999999999993E-2</v>
      </c>
      <c r="AG325" s="1160">
        <v>5.099999999999999E-2</v>
      </c>
      <c r="AH325" s="1097"/>
      <c r="AI325" s="1159">
        <v>70</v>
      </c>
      <c r="AJ325" s="1159"/>
      <c r="AK325" s="1160">
        <v>2.1000000000000005E-2</v>
      </c>
      <c r="AL325" s="1160"/>
      <c r="AM325" s="1160">
        <v>2.3250000000000003E-2</v>
      </c>
      <c r="AN325" s="1160"/>
      <c r="AO325" s="1160">
        <v>2.5500000000000002E-2</v>
      </c>
      <c r="AP325" s="1160"/>
      <c r="AQ325" s="1160">
        <v>2.7750000000000004E-2</v>
      </c>
      <c r="AR325" s="1160"/>
      <c r="AS325" s="1160">
        <v>0.03</v>
      </c>
      <c r="AT325" s="1160"/>
      <c r="AU325" s="1097"/>
      <c r="AV325" s="1097"/>
      <c r="AW325" s="1097"/>
      <c r="AX325" s="1097"/>
      <c r="AY325" s="1097"/>
      <c r="AZ325" s="1097"/>
      <c r="BA325" s="1097"/>
      <c r="BB325" s="1097"/>
      <c r="BH325" s="1134"/>
      <c r="BI325" s="1159">
        <v>70</v>
      </c>
      <c r="BJ325" s="1160">
        <v>2.1000000000000001E-2</v>
      </c>
      <c r="BK325" s="1160">
        <v>2.4000000000000004E-2</v>
      </c>
      <c r="BL325" s="1160">
        <v>2.7000000000000003E-2</v>
      </c>
      <c r="BM325" s="1160">
        <v>0.03</v>
      </c>
      <c r="BN325" s="1160">
        <v>3.3000000000000002E-2</v>
      </c>
      <c r="BO325" s="1097"/>
      <c r="BP325" s="1159">
        <v>70</v>
      </c>
      <c r="BQ325" s="1160">
        <v>1.4999999999999999E-2</v>
      </c>
      <c r="BR325" s="1160">
        <v>1.6500000000000001E-2</v>
      </c>
      <c r="BS325" s="1160">
        <v>1.8000000000000002E-2</v>
      </c>
      <c r="BT325" s="1160">
        <v>1.9500000000000003E-2</v>
      </c>
      <c r="BU325" s="1160">
        <v>2.1000000000000001E-2</v>
      </c>
      <c r="BV325" s="1097"/>
      <c r="BW325" s="1097"/>
      <c r="BX325" s="1097"/>
      <c r="BY325" s="1097"/>
      <c r="BZ325" s="1097"/>
      <c r="CA325" s="1097"/>
      <c r="CB325" s="1097"/>
      <c r="CH325" s="1134"/>
      <c r="CI325" s="1159">
        <v>70</v>
      </c>
      <c r="CJ325" s="1160">
        <v>2.1000000000000005E-2</v>
      </c>
      <c r="CK325" s="1160">
        <v>2.2499999999999999E-2</v>
      </c>
      <c r="CL325" s="1160">
        <v>2.4E-2</v>
      </c>
      <c r="CM325" s="1160">
        <v>2.5500000000000002E-2</v>
      </c>
      <c r="CN325" s="1160">
        <v>2.7000000000000003E-2</v>
      </c>
      <c r="CO325" s="1097"/>
      <c r="CP325" s="1159">
        <v>70</v>
      </c>
      <c r="CQ325" s="1160">
        <v>1.2000000000000002E-2</v>
      </c>
      <c r="CR325" s="1160">
        <v>1.3500000000000002E-2</v>
      </c>
      <c r="CS325" s="1160">
        <v>1.4999999999999999E-2</v>
      </c>
      <c r="CT325" s="1160">
        <v>1.6500000000000001E-2</v>
      </c>
      <c r="CU325" s="1160">
        <v>1.8000000000000002E-2</v>
      </c>
      <c r="CV325" s="1097"/>
      <c r="CW325" s="1097"/>
      <c r="CX325" s="1097"/>
      <c r="CY325" s="1097"/>
      <c r="CZ325" s="1097"/>
      <c r="DA325" s="1097"/>
      <c r="DB325" s="1097"/>
      <c r="DH325" s="1134"/>
      <c r="DI325" s="1159">
        <v>70</v>
      </c>
      <c r="DJ325" s="1160">
        <v>1.7999999999999995E-2</v>
      </c>
      <c r="DK325" s="1160">
        <v>1.9499999999999993E-2</v>
      </c>
      <c r="DL325" s="1160">
        <v>2.0999999999999994E-2</v>
      </c>
      <c r="DM325" s="1160">
        <v>2.2499999999999999E-2</v>
      </c>
      <c r="DN325" s="1160">
        <v>2.3999999999999994E-2</v>
      </c>
      <c r="DO325" s="1097"/>
      <c r="DP325" s="1159">
        <v>70</v>
      </c>
      <c r="DQ325" s="1160">
        <v>8.9999999999999993E-3</v>
      </c>
      <c r="DR325" s="1160">
        <v>1.0500000000000001E-2</v>
      </c>
      <c r="DS325" s="1160">
        <v>1.2E-2</v>
      </c>
      <c r="DT325" s="1160">
        <v>1.3500000000000002E-2</v>
      </c>
      <c r="DU325" s="1160">
        <v>1.4999999999999999E-2</v>
      </c>
      <c r="DV325" s="1097"/>
      <c r="DW325" s="1097"/>
      <c r="DX325" s="1097"/>
      <c r="DY325" s="1097"/>
      <c r="DZ325" s="1097"/>
      <c r="EA325" s="1097"/>
      <c r="EB325" s="1097"/>
    </row>
    <row r="326" spans="2:132" ht="12.75" x14ac:dyDescent="0.2">
      <c r="B326" s="60" t="e">
        <f t="shared" si="189"/>
        <v>#DIV/0!</v>
      </c>
      <c r="C326" s="60" t="e">
        <f t="shared" si="190"/>
        <v>#DIV/0!</v>
      </c>
      <c r="D326" s="60" t="e">
        <f t="shared" si="195"/>
        <v>#DIV/0!</v>
      </c>
      <c r="E326" s="60" t="e">
        <f t="shared" si="196"/>
        <v>#DIV/0!</v>
      </c>
      <c r="F326" s="60" t="e">
        <f t="shared" si="197"/>
        <v>#DIV/0!</v>
      </c>
      <c r="G326" s="60" t="e">
        <f t="shared" si="198"/>
        <v>#DIV/0!</v>
      </c>
      <c r="I326" s="60" t="e">
        <f t="shared" si="191"/>
        <v>#DIV/0!</v>
      </c>
      <c r="J326" s="60" t="e">
        <f t="shared" si="192"/>
        <v>#DIV/0!</v>
      </c>
      <c r="K326" s="60" t="e">
        <f t="shared" si="199"/>
        <v>#DIV/0!</v>
      </c>
      <c r="L326" s="60" t="e">
        <f t="shared" si="200"/>
        <v>#DIV/0!</v>
      </c>
      <c r="M326" s="60" t="e">
        <f t="shared" si="201"/>
        <v>#DIV/0!</v>
      </c>
      <c r="N326" s="60" t="e">
        <f t="shared" si="202"/>
        <v>#DIV/0!</v>
      </c>
      <c r="P326" s="60" t="e">
        <f t="shared" ref="P326:P332" si="204">IF($A$314=1,AW326,IF($A$314=2,BW326,IF($A$314=3,CW326,IF($A$314=4,DW326))))</f>
        <v>#DIV/0!</v>
      </c>
      <c r="AA326" s="1134"/>
      <c r="AB326" s="1159">
        <v>80</v>
      </c>
      <c r="AC326" s="1160">
        <v>2.4000000000000004E-2</v>
      </c>
      <c r="AD326" s="1160">
        <v>2.6624999999999999E-2</v>
      </c>
      <c r="AE326" s="1160">
        <v>2.9249999999999998E-2</v>
      </c>
      <c r="AF326" s="1160">
        <v>3.1875000000000001E-2</v>
      </c>
      <c r="AG326" s="1160">
        <v>3.4499999999999996E-2</v>
      </c>
      <c r="AH326" s="1097"/>
      <c r="AI326" s="1159">
        <v>80</v>
      </c>
      <c r="AJ326" s="1159"/>
      <c r="AK326" s="1160">
        <v>3.5250000000000004E-2</v>
      </c>
      <c r="AL326" s="1160"/>
      <c r="AM326" s="1160">
        <v>3.9E-2</v>
      </c>
      <c r="AN326" s="1160"/>
      <c r="AO326" s="1160">
        <v>4.2749999999999996E-2</v>
      </c>
      <c r="AP326" s="1160"/>
      <c r="AQ326" s="1160">
        <v>4.65E-2</v>
      </c>
      <c r="AR326" s="1160"/>
      <c r="AS326" s="1160">
        <v>5.0250000000000003E-2</v>
      </c>
      <c r="AT326" s="1160"/>
      <c r="AU326" s="1097"/>
      <c r="AV326" s="1097"/>
      <c r="AW326" s="1108" t="s">
        <v>3966</v>
      </c>
      <c r="AX326" s="1131"/>
      <c r="AY326" s="1131"/>
      <c r="AZ326" s="1131"/>
      <c r="BA326" s="1131"/>
      <c r="BB326" s="1131"/>
      <c r="BH326" s="1134"/>
      <c r="BI326" s="1159">
        <v>80</v>
      </c>
      <c r="BJ326" s="1160">
        <v>1.3500000000000002E-2</v>
      </c>
      <c r="BK326" s="1160">
        <v>1.5562500000000002E-2</v>
      </c>
      <c r="BL326" s="1160">
        <v>1.7625000000000002E-2</v>
      </c>
      <c r="BM326" s="1160">
        <v>1.96875E-2</v>
      </c>
      <c r="BN326" s="1160">
        <v>2.1749999999999999E-2</v>
      </c>
      <c r="BO326" s="1097"/>
      <c r="BP326" s="1159">
        <v>80</v>
      </c>
      <c r="BQ326" s="1160">
        <v>2.4750000000000001E-2</v>
      </c>
      <c r="BR326" s="1160">
        <v>2.71875E-2</v>
      </c>
      <c r="BS326" s="1160">
        <v>2.9625000000000005E-2</v>
      </c>
      <c r="BT326" s="1160">
        <v>3.2062500000000008E-2</v>
      </c>
      <c r="BU326" s="1160">
        <v>3.450000000000001E-2</v>
      </c>
      <c r="BV326" s="1097"/>
      <c r="BW326" s="1108" t="s">
        <v>3966</v>
      </c>
      <c r="BX326" s="1131"/>
      <c r="BY326" s="1131"/>
      <c r="BZ326" s="1131"/>
      <c r="CA326" s="1131"/>
      <c r="CB326" s="1131"/>
      <c r="CH326" s="1134"/>
      <c r="CI326" s="1159">
        <v>80</v>
      </c>
      <c r="CJ326" s="1160">
        <v>1.4999999999999999E-2</v>
      </c>
      <c r="CK326" s="1160">
        <v>1.5750000000000004E-2</v>
      </c>
      <c r="CL326" s="1160">
        <v>1.6500000000000004E-2</v>
      </c>
      <c r="CM326" s="1160">
        <v>1.7250000000000001E-2</v>
      </c>
      <c r="CN326" s="1160">
        <v>1.8000000000000002E-2</v>
      </c>
      <c r="CO326" s="1097"/>
      <c r="CP326" s="1159">
        <v>80</v>
      </c>
      <c r="CQ326" s="1160">
        <v>2.0250000000000001E-2</v>
      </c>
      <c r="CR326" s="1160">
        <v>2.2499999999999999E-2</v>
      </c>
      <c r="CS326" s="1160">
        <v>2.4750000000000001E-2</v>
      </c>
      <c r="CT326" s="1160">
        <v>2.7E-2</v>
      </c>
      <c r="CU326" s="1160">
        <v>2.9249999999999998E-2</v>
      </c>
      <c r="CV326" s="1097"/>
      <c r="CW326" s="1108" t="s">
        <v>3966</v>
      </c>
      <c r="CX326" s="1131"/>
      <c r="CY326" s="1131"/>
      <c r="CZ326" s="1131"/>
      <c r="DA326" s="1131"/>
      <c r="DB326" s="1131"/>
      <c r="DH326" s="1134"/>
      <c r="DI326" s="1159">
        <v>80</v>
      </c>
      <c r="DJ326" s="1160">
        <v>1.2749999999999991E-2</v>
      </c>
      <c r="DK326" s="1160">
        <v>1.3499999999999991E-2</v>
      </c>
      <c r="DL326" s="1160">
        <v>1.4249999999999992E-2</v>
      </c>
      <c r="DM326" s="1160">
        <v>1.4999999999999999E-2</v>
      </c>
      <c r="DN326" s="1160">
        <v>1.5749999999999993E-2</v>
      </c>
      <c r="DO326" s="1097"/>
      <c r="DP326" s="1159">
        <v>80</v>
      </c>
      <c r="DQ326" s="1160">
        <v>1.575E-2</v>
      </c>
      <c r="DR326" s="1160">
        <v>1.7999999999999999E-2</v>
      </c>
      <c r="DS326" s="1160">
        <v>2.0249999999999997E-2</v>
      </c>
      <c r="DT326" s="1160">
        <v>2.2499999999999999E-2</v>
      </c>
      <c r="DU326" s="1160">
        <v>2.4749999999999998E-2</v>
      </c>
      <c r="DV326" s="1097"/>
      <c r="DW326" s="1108" t="s">
        <v>3966</v>
      </c>
      <c r="DX326" s="1131"/>
      <c r="DY326" s="1131"/>
      <c r="DZ326" s="1131"/>
      <c r="EA326" s="1131"/>
      <c r="EB326" s="1131"/>
    </row>
    <row r="327" spans="2:132" ht="12.75" x14ac:dyDescent="0.2">
      <c r="I327" s="60" t="e">
        <f t="shared" si="191"/>
        <v>#DIV/0!</v>
      </c>
      <c r="J327" s="60" t="e">
        <f t="shared" si="192"/>
        <v>#DIV/0!</v>
      </c>
      <c r="K327" s="60" t="e">
        <f t="shared" si="199"/>
        <v>#DIV/0!</v>
      </c>
      <c r="L327" s="60" t="e">
        <f t="shared" si="200"/>
        <v>#DIV/0!</v>
      </c>
      <c r="M327" s="60" t="e">
        <f t="shared" si="201"/>
        <v>#DIV/0!</v>
      </c>
      <c r="N327" s="60" t="e">
        <f t="shared" si="202"/>
        <v>#DIV/0!</v>
      </c>
      <c r="P327" s="60" t="e">
        <f t="shared" si="204"/>
        <v>#DIV/0!</v>
      </c>
      <c r="Q327" s="60" t="e">
        <f>IF($A$314=1,AX327,IF($A$314=2,BX327,IF($A$314=3,CX327,IF($A$314=4,DX327))))</f>
        <v>#DIV/0!</v>
      </c>
      <c r="AA327" s="1134"/>
      <c r="AB327" s="1117" t="s">
        <v>1272</v>
      </c>
      <c r="AC327" s="1117"/>
      <c r="AD327" s="1117"/>
      <c r="AE327" s="1117"/>
      <c r="AF327" s="1117"/>
      <c r="AG327" s="1117"/>
      <c r="AH327" s="1117"/>
      <c r="AI327" s="1117" t="s">
        <v>1272</v>
      </c>
      <c r="AJ327" s="1117"/>
      <c r="AK327" s="1117"/>
      <c r="AL327" s="1117"/>
      <c r="AM327" s="1117"/>
      <c r="AN327" s="1117"/>
      <c r="AO327" s="1117"/>
      <c r="AP327" s="1117"/>
      <c r="AQ327" s="1117"/>
      <c r="AR327" s="1117"/>
      <c r="AS327" s="1117"/>
      <c r="AT327" s="1117"/>
      <c r="AU327" s="1097"/>
      <c r="AV327" s="1097"/>
      <c r="AW327" s="1108" t="s">
        <v>3411</v>
      </c>
      <c r="AX327" s="1124" t="s">
        <v>3968</v>
      </c>
      <c r="AY327" s="1124"/>
      <c r="AZ327" s="1116"/>
      <c r="BA327" s="1116"/>
      <c r="BB327" s="1116"/>
      <c r="BH327" s="1134"/>
      <c r="BI327" s="1117" t="s">
        <v>1272</v>
      </c>
      <c r="BJ327" s="1117"/>
      <c r="BK327" s="1117"/>
      <c r="BL327" s="1117"/>
      <c r="BM327" s="1117"/>
      <c r="BN327" s="1117"/>
      <c r="BO327" s="1117"/>
      <c r="BP327" s="1117" t="s">
        <v>1272</v>
      </c>
      <c r="BQ327" s="1117"/>
      <c r="BR327" s="1117"/>
      <c r="BS327" s="1117"/>
      <c r="BT327" s="1117"/>
      <c r="BU327" s="1117"/>
      <c r="BV327" s="1097"/>
      <c r="BW327" s="1108" t="s">
        <v>3411</v>
      </c>
      <c r="BX327" s="1124" t="s">
        <v>3968</v>
      </c>
      <c r="BY327" s="1124"/>
      <c r="BZ327" s="1116"/>
      <c r="CA327" s="1116"/>
      <c r="CB327" s="1116"/>
      <c r="CH327" s="1134"/>
      <c r="CI327" s="1117" t="s">
        <v>1272</v>
      </c>
      <c r="CJ327" s="1117"/>
      <c r="CK327" s="1117"/>
      <c r="CL327" s="1117"/>
      <c r="CM327" s="1117"/>
      <c r="CN327" s="1117"/>
      <c r="CO327" s="1117"/>
      <c r="CP327" s="1117" t="s">
        <v>1272</v>
      </c>
      <c r="CQ327" s="1117"/>
      <c r="CR327" s="1117"/>
      <c r="CS327" s="1117"/>
      <c r="CT327" s="1117"/>
      <c r="CU327" s="1117"/>
      <c r="CV327" s="1097"/>
      <c r="CW327" s="1108" t="s">
        <v>3411</v>
      </c>
      <c r="CX327" s="1124" t="s">
        <v>3968</v>
      </c>
      <c r="CY327" s="1124"/>
      <c r="CZ327" s="1116"/>
      <c r="DA327" s="1116"/>
      <c r="DB327" s="1116"/>
      <c r="DH327" s="1134"/>
      <c r="DI327" s="1117" t="s">
        <v>1272</v>
      </c>
      <c r="DJ327" s="1117"/>
      <c r="DK327" s="1117"/>
      <c r="DL327" s="1117"/>
      <c r="DM327" s="1117"/>
      <c r="DN327" s="1117"/>
      <c r="DO327" s="1117"/>
      <c r="DP327" s="1117" t="s">
        <v>1272</v>
      </c>
      <c r="DQ327" s="1117"/>
      <c r="DR327" s="1117"/>
      <c r="DS327" s="1117"/>
      <c r="DT327" s="1117"/>
      <c r="DU327" s="1117"/>
      <c r="DV327" s="1097"/>
      <c r="DW327" s="1108" t="s">
        <v>3411</v>
      </c>
      <c r="DX327" s="1124" t="s">
        <v>3968</v>
      </c>
      <c r="DY327" s="1124"/>
      <c r="DZ327" s="1116"/>
      <c r="EA327" s="1116"/>
      <c r="EB327" s="1116"/>
    </row>
    <row r="328" spans="2:132" ht="12.75" x14ac:dyDescent="0.2">
      <c r="P328" s="60" t="e">
        <f t="shared" si="204"/>
        <v>#DIV/0!</v>
      </c>
      <c r="S328" s="60" t="e">
        <f>IF($A$314=1,AZ328,IF($A$314=2,BZ328,IF($A$314=3,CZ328,IF($A$314=4,DZ328))))</f>
        <v>#DIV/0!</v>
      </c>
      <c r="AA328" s="1134"/>
      <c r="AB328" s="1099" t="s">
        <v>1273</v>
      </c>
      <c r="AC328" s="1143"/>
      <c r="AD328" s="1143"/>
      <c r="AE328" s="1143"/>
      <c r="AF328" s="1143"/>
      <c r="AG328" s="1143"/>
      <c r="AH328" s="1117"/>
      <c r="AI328" s="1099" t="s">
        <v>1274</v>
      </c>
      <c r="AJ328" s="1099"/>
      <c r="AK328" s="1143"/>
      <c r="AL328" s="1143"/>
      <c r="AM328" s="1143"/>
      <c r="AN328" s="1143"/>
      <c r="AO328" s="1143"/>
      <c r="AP328" s="1143"/>
      <c r="AQ328" s="1143"/>
      <c r="AR328" s="1143"/>
      <c r="AS328" s="1143"/>
      <c r="AT328" s="1143"/>
      <c r="AU328" s="1097"/>
      <c r="AV328" s="1097"/>
      <c r="AW328" s="1144" t="s">
        <v>3970</v>
      </c>
      <c r="AX328" s="1117"/>
      <c r="AY328" s="1117"/>
      <c r="AZ328" s="1145" t="s">
        <v>1714</v>
      </c>
      <c r="BA328" s="1117"/>
      <c r="BB328" s="1117"/>
      <c r="BH328" s="1134"/>
      <c r="BI328" s="1099" t="s">
        <v>1277</v>
      </c>
      <c r="BJ328" s="1143"/>
      <c r="BK328" s="1143"/>
      <c r="BL328" s="1143"/>
      <c r="BM328" s="1143"/>
      <c r="BN328" s="1143"/>
      <c r="BO328" s="1117"/>
      <c r="BP328" s="1099" t="s">
        <v>1278</v>
      </c>
      <c r="BQ328" s="1143"/>
      <c r="BR328" s="1143"/>
      <c r="BS328" s="1143"/>
      <c r="BT328" s="1143"/>
      <c r="BU328" s="1143"/>
      <c r="BV328" s="1097"/>
      <c r="BW328" s="1144" t="s">
        <v>3970</v>
      </c>
      <c r="BX328" s="1117"/>
      <c r="BY328" s="1117"/>
      <c r="BZ328" s="1145" t="s">
        <v>1714</v>
      </c>
      <c r="CA328" s="1117"/>
      <c r="CB328" s="1117"/>
      <c r="CH328" s="1134"/>
      <c r="CI328" s="1099" t="s">
        <v>1280</v>
      </c>
      <c r="CJ328" s="1143"/>
      <c r="CK328" s="1143"/>
      <c r="CL328" s="1143"/>
      <c r="CM328" s="1143"/>
      <c r="CN328" s="1143"/>
      <c r="CO328" s="1117"/>
      <c r="CP328" s="1099" t="s">
        <v>1281</v>
      </c>
      <c r="CQ328" s="1143"/>
      <c r="CR328" s="1143"/>
      <c r="CS328" s="1143"/>
      <c r="CT328" s="1143"/>
      <c r="CU328" s="1143"/>
      <c r="CV328" s="1097"/>
      <c r="CW328" s="1144" t="s">
        <v>3970</v>
      </c>
      <c r="CX328" s="1117"/>
      <c r="CY328" s="1117"/>
      <c r="CZ328" s="1145" t="s">
        <v>1714</v>
      </c>
      <c r="DA328" s="1117"/>
      <c r="DB328" s="1117"/>
      <c r="DH328" s="1134"/>
      <c r="DI328" s="1099" t="s">
        <v>3891</v>
      </c>
      <c r="DJ328" s="1143"/>
      <c r="DK328" s="1143"/>
      <c r="DL328" s="1143"/>
      <c r="DM328" s="1143"/>
      <c r="DN328" s="1143"/>
      <c r="DO328" s="1117"/>
      <c r="DP328" s="1099" t="s">
        <v>3892</v>
      </c>
      <c r="DQ328" s="1143"/>
      <c r="DR328" s="1143"/>
      <c r="DS328" s="1143"/>
      <c r="DT328" s="1143"/>
      <c r="DU328" s="1143"/>
      <c r="DV328" s="1097"/>
      <c r="DW328" s="1144" t="s">
        <v>3970</v>
      </c>
      <c r="DX328" s="1117"/>
      <c r="DY328" s="1117"/>
      <c r="DZ328" s="1145" t="s">
        <v>1714</v>
      </c>
      <c r="EA328" s="1117"/>
      <c r="EB328" s="1117"/>
    </row>
    <row r="329" spans="2:132" ht="12.75" x14ac:dyDescent="0.2">
      <c r="B329" s="60" t="e">
        <f>IF($A$314=1,AB329,IF($A$314=2,BI329,IF($A$314=3,CI329,IF($A$314=4,DI329))))</f>
        <v>#DIV/0!</v>
      </c>
      <c r="D329" s="60" t="e">
        <f t="shared" ref="D329:G330" si="205">IF($A$314=1,AD329,IF($A$314=2,BK329,IF($A$314=3,CK329,IF($A$314=4,DK329))))</f>
        <v>#DIV/0!</v>
      </c>
      <c r="E329" s="60" t="e">
        <f t="shared" si="205"/>
        <v>#DIV/0!</v>
      </c>
      <c r="F329" s="60" t="e">
        <f t="shared" si="205"/>
        <v>#DIV/0!</v>
      </c>
      <c r="G329" s="60" t="e">
        <f t="shared" si="205"/>
        <v>#DIV/0!</v>
      </c>
      <c r="I329" s="60" t="e">
        <f>IF($A$314=1,AI329,IF($A$314=2,BP329,IF($A$314=3,CP329,IF($A$314=4,DP329))))</f>
        <v>#DIV/0!</v>
      </c>
      <c r="J329" s="60" t="e">
        <f>IF($A$314=1,AK329,IF($A$314=2,BQ329,IF($A$314=3,CQ329,IF($A$314=4,DQ329))))</f>
        <v>#DIV/0!</v>
      </c>
      <c r="K329" s="60" t="e">
        <f>IF($A$314=1,AM329,IF($A$314=2,BR329,IF($A$314=3,CR329,IF($A$314=4,DR329))))</f>
        <v>#DIV/0!</v>
      </c>
      <c r="L329" s="60" t="e">
        <f>IF($A$314=1,AO329,IF($A$314=2,BS329,IF($A$314=3,CS329,IF($A$314=4,DS329))))</f>
        <v>#DIV/0!</v>
      </c>
      <c r="M329" s="60" t="e">
        <f>IF($A$314=1,AQ329,IF($A$314=2,BT329,IF($A$314=3,CT329,IF($A$314=4,DT329))))</f>
        <v>#DIV/0!</v>
      </c>
      <c r="N329" s="60" t="e">
        <f>IF($A$314=1,AS329,IF($A$314=2,BU329,IF($A$314=3,CU329,IF($A$314=4,DU329))))</f>
        <v>#DIV/0!</v>
      </c>
      <c r="P329" s="60" t="e">
        <f t="shared" si="204"/>
        <v>#DIV/0!</v>
      </c>
      <c r="S329" s="60" t="e">
        <f>IF($A$314=1,AZ329,IF($A$314=2,BZ329,IF($A$314=3,CZ329,IF($A$314=4,DZ329))))</f>
        <v>#DIV/0!</v>
      </c>
      <c r="AA329" s="1134"/>
      <c r="AB329" s="1093" t="s">
        <v>3971</v>
      </c>
      <c r="AC329" s="1148"/>
      <c r="AD329" s="1148" t="s">
        <v>1275</v>
      </c>
      <c r="AE329" s="1148" t="s">
        <v>2699</v>
      </c>
      <c r="AF329" s="1148" t="s">
        <v>2701</v>
      </c>
      <c r="AG329" s="1148" t="s">
        <v>2703</v>
      </c>
      <c r="AH329" s="1097"/>
      <c r="AI329" s="1093" t="s">
        <v>3971</v>
      </c>
      <c r="AJ329" s="1093"/>
      <c r="AK329" s="1148"/>
      <c r="AL329" s="1148"/>
      <c r="AM329" s="1148" t="s">
        <v>1275</v>
      </c>
      <c r="AN329" s="1148"/>
      <c r="AO329" s="1148" t="s">
        <v>2699</v>
      </c>
      <c r="AP329" s="1148"/>
      <c r="AQ329" s="1148" t="s">
        <v>2701</v>
      </c>
      <c r="AR329" s="1148"/>
      <c r="AS329" s="1148" t="s">
        <v>2703</v>
      </c>
      <c r="AT329" s="1148"/>
      <c r="AU329" s="1097"/>
      <c r="AV329" s="1097"/>
      <c r="AW329" s="1144" t="s">
        <v>3972</v>
      </c>
      <c r="AX329" s="1117"/>
      <c r="AY329" s="1117"/>
      <c r="AZ329" s="1145" t="s">
        <v>1714</v>
      </c>
      <c r="BA329" s="1117"/>
      <c r="BB329" s="1117"/>
      <c r="BH329" s="1134"/>
      <c r="BI329" s="1117"/>
      <c r="BJ329" s="1117"/>
      <c r="BK329" s="1117"/>
      <c r="BL329" s="1117"/>
      <c r="BM329" s="1117"/>
      <c r="BN329" s="1117"/>
      <c r="BO329" s="1097"/>
      <c r="BP329" s="1117"/>
      <c r="BQ329" s="1117"/>
      <c r="BR329" s="1117"/>
      <c r="BS329" s="1117"/>
      <c r="BT329" s="1117"/>
      <c r="BU329" s="1117"/>
      <c r="BV329" s="1097"/>
      <c r="BW329" s="1144" t="s">
        <v>3972</v>
      </c>
      <c r="BX329" s="1117"/>
      <c r="BY329" s="1117"/>
      <c r="BZ329" s="1145" t="s">
        <v>1714</v>
      </c>
      <c r="CA329" s="1117"/>
      <c r="CB329" s="1117"/>
      <c r="CH329" s="1134"/>
      <c r="CI329" s="1117"/>
      <c r="CJ329" s="1117"/>
      <c r="CK329" s="1117"/>
      <c r="CL329" s="1117"/>
      <c r="CM329" s="1117"/>
      <c r="CN329" s="1117"/>
      <c r="CO329" s="1097"/>
      <c r="CP329" s="1117"/>
      <c r="CQ329" s="1117"/>
      <c r="CR329" s="1117"/>
      <c r="CS329" s="1117"/>
      <c r="CT329" s="1117"/>
      <c r="CU329" s="1117"/>
      <c r="CV329" s="1097"/>
      <c r="CW329" s="1144" t="s">
        <v>3972</v>
      </c>
      <c r="CX329" s="1117"/>
      <c r="CY329" s="1117"/>
      <c r="CZ329" s="1145" t="s">
        <v>1714</v>
      </c>
      <c r="DA329" s="1117"/>
      <c r="DB329" s="1117"/>
      <c r="DH329" s="1134"/>
      <c r="DI329" s="1117"/>
      <c r="DJ329" s="1117"/>
      <c r="DK329" s="1117"/>
      <c r="DL329" s="1117"/>
      <c r="DM329" s="1117"/>
      <c r="DN329" s="1117"/>
      <c r="DO329" s="1097"/>
      <c r="DP329" s="1117"/>
      <c r="DQ329" s="1117"/>
      <c r="DR329" s="1117"/>
      <c r="DS329" s="1117"/>
      <c r="DT329" s="1117"/>
      <c r="DU329" s="1117"/>
      <c r="DV329" s="1097"/>
      <c r="DW329" s="1144" t="s">
        <v>3972</v>
      </c>
      <c r="DX329" s="1117"/>
      <c r="DY329" s="1117"/>
      <c r="DZ329" s="1145" t="s">
        <v>1714</v>
      </c>
      <c r="EA329" s="1117"/>
      <c r="EB329" s="1117"/>
    </row>
    <row r="330" spans="2:132" ht="12.75" x14ac:dyDescent="0.2">
      <c r="B330" s="60" t="e">
        <f>IF($A$314=1,AB330,IF($A$314=2,BI330,IF($A$314=3,CI330,IF($A$314=4,DI330))))</f>
        <v>#DIV/0!</v>
      </c>
      <c r="D330" s="60" t="e">
        <f t="shared" si="205"/>
        <v>#DIV/0!</v>
      </c>
      <c r="E330" s="60" t="e">
        <f t="shared" si="205"/>
        <v>#DIV/0!</v>
      </c>
      <c r="F330" s="60" t="e">
        <f t="shared" si="205"/>
        <v>#DIV/0!</v>
      </c>
      <c r="G330" s="60" t="e">
        <f t="shared" si="205"/>
        <v>#DIV/0!</v>
      </c>
      <c r="I330" s="60" t="e">
        <f>IF($A$314=1,AI330,IF($A$314=2,BP330,IF($A$314=3,CP330,IF($A$314=4,DP330))))</f>
        <v>#DIV/0!</v>
      </c>
      <c r="J330" s="60" t="e">
        <f>IF($A$314=1,AK330,IF($A$314=2,BQ330,IF($A$314=3,CQ330,IF($A$314=4,DQ330))))</f>
        <v>#DIV/0!</v>
      </c>
      <c r="K330" s="60" t="e">
        <f>IF($A$314=1,AM330,IF($A$314=2,BR330,IF($A$314=3,CR330,IF($A$314=4,DR330))))</f>
        <v>#DIV/0!</v>
      </c>
      <c r="L330" s="60" t="e">
        <f>IF($A$314=1,AO330,IF($A$314=2,BS330,IF($A$314=3,CS330,IF($A$314=4,DS330))))</f>
        <v>#DIV/0!</v>
      </c>
      <c r="M330" s="60" t="e">
        <f>IF($A$314=1,AQ330,IF($A$314=2,BT330,IF($A$314=3,CT330,IF($A$314=4,DT330))))</f>
        <v>#DIV/0!</v>
      </c>
      <c r="N330" s="60" t="e">
        <f>IF($A$314=1,AS330,IF($A$314=2,BU330,IF($A$314=3,CU330,IF($A$314=4,DU330))))</f>
        <v>#DIV/0!</v>
      </c>
      <c r="P330" s="60" t="e">
        <f t="shared" si="204"/>
        <v>#DIV/0!</v>
      </c>
      <c r="S330" s="60" t="e">
        <f>IF($A$314=1,AZ330,IF($A$314=2,BZ330,IF($A$314=3,CZ330,IF($A$314=4,DZ330))))</f>
        <v>#DIV/0!</v>
      </c>
      <c r="AA330" s="1134"/>
      <c r="AB330" s="1108" t="s">
        <v>3973</v>
      </c>
      <c r="AC330" s="1131"/>
      <c r="AD330" s="1148">
        <v>1</v>
      </c>
      <c r="AE330" s="1148">
        <v>0.33</v>
      </c>
      <c r="AF330" s="1148">
        <v>0.2</v>
      </c>
      <c r="AG330" s="1148">
        <v>0.14000000000000001</v>
      </c>
      <c r="AH330" s="1097"/>
      <c r="AI330" s="1108" t="s">
        <v>3975</v>
      </c>
      <c r="AJ330" s="1108"/>
      <c r="AK330" s="1131"/>
      <c r="AL330" s="1131"/>
      <c r="AM330" s="1148">
        <v>1</v>
      </c>
      <c r="AN330" s="1148"/>
      <c r="AO330" s="1148">
        <v>0.33</v>
      </c>
      <c r="AP330" s="1148"/>
      <c r="AQ330" s="1148">
        <v>0.2</v>
      </c>
      <c r="AR330" s="1148"/>
      <c r="AS330" s="1148">
        <v>0.14000000000000001</v>
      </c>
      <c r="AT330" s="1148"/>
      <c r="AU330" s="1097"/>
      <c r="AV330" s="1097"/>
      <c r="AW330" s="1144" t="s">
        <v>3974</v>
      </c>
      <c r="AX330" s="1117"/>
      <c r="AY330" s="1117"/>
      <c r="AZ330" s="1145" t="s">
        <v>1714</v>
      </c>
      <c r="BA330" s="1117"/>
      <c r="BB330" s="1117"/>
      <c r="BH330" s="1134"/>
      <c r="BI330" s="1097"/>
      <c r="BJ330" s="1097"/>
      <c r="BK330" s="1097"/>
      <c r="BL330" s="1097"/>
      <c r="BM330" s="1097"/>
      <c r="BN330" s="1097"/>
      <c r="BO330" s="1097"/>
      <c r="BP330" s="1117"/>
      <c r="BQ330" s="1117"/>
      <c r="BR330" s="1117"/>
      <c r="BS330" s="1117"/>
      <c r="BT330" s="1117"/>
      <c r="BU330" s="1117"/>
      <c r="BV330" s="1097"/>
      <c r="BW330" s="1144" t="s">
        <v>3974</v>
      </c>
      <c r="BX330" s="1117"/>
      <c r="BY330" s="1117"/>
      <c r="BZ330" s="1145" t="s">
        <v>1714</v>
      </c>
      <c r="CA330" s="1117"/>
      <c r="CB330" s="1117"/>
      <c r="CH330" s="1134"/>
      <c r="CI330" s="1097"/>
      <c r="CJ330" s="1097"/>
      <c r="CK330" s="1097"/>
      <c r="CL330" s="1097"/>
      <c r="CM330" s="1097"/>
      <c r="CN330" s="1097"/>
      <c r="CO330" s="1097"/>
      <c r="CP330" s="1117"/>
      <c r="CQ330" s="1117"/>
      <c r="CR330" s="1117"/>
      <c r="CS330" s="1117"/>
      <c r="CT330" s="1117"/>
      <c r="CU330" s="1117"/>
      <c r="CV330" s="1097"/>
      <c r="CW330" s="1144" t="s">
        <v>3974</v>
      </c>
      <c r="CX330" s="1117"/>
      <c r="CY330" s="1117"/>
      <c r="CZ330" s="1145" t="s">
        <v>1714</v>
      </c>
      <c r="DA330" s="1117"/>
      <c r="DB330" s="1117"/>
      <c r="DH330" s="1134"/>
      <c r="DI330" s="1097"/>
      <c r="DJ330" s="1097"/>
      <c r="DK330" s="1097"/>
      <c r="DL330" s="1097"/>
      <c r="DM330" s="1097"/>
      <c r="DN330" s="1097"/>
      <c r="DO330" s="1097"/>
      <c r="DP330" s="1117"/>
      <c r="DQ330" s="1117"/>
      <c r="DR330" s="1117"/>
      <c r="DS330" s="1117"/>
      <c r="DT330" s="1117"/>
      <c r="DU330" s="1117"/>
      <c r="DV330" s="1097"/>
      <c r="DW330" s="1144" t="s">
        <v>3974</v>
      </c>
      <c r="DX330" s="1117"/>
      <c r="DY330" s="1117"/>
      <c r="DZ330" s="1145" t="s">
        <v>1714</v>
      </c>
      <c r="EA330" s="1117"/>
      <c r="EB330" s="1117"/>
    </row>
    <row r="331" spans="2:132" ht="12.75" x14ac:dyDescent="0.2">
      <c r="P331" s="60" t="e">
        <f t="shared" si="204"/>
        <v>#DIV/0!</v>
      </c>
      <c r="S331" s="60" t="e">
        <f>IF($A$314=1,AZ331,IF($A$314=2,BZ331,IF($A$314=3,CZ331,IF($A$314=4,DZ331))))</f>
        <v>#DIV/0!</v>
      </c>
      <c r="AA331" s="1134"/>
      <c r="AB331" s="1097"/>
      <c r="AC331" s="1097"/>
      <c r="AD331" s="1097"/>
      <c r="AE331" s="1097"/>
      <c r="AF331" s="1097"/>
      <c r="AG331" s="1097"/>
      <c r="AH331" s="1097"/>
      <c r="AI331" s="1097"/>
      <c r="AJ331" s="1097"/>
      <c r="AK331" s="1097"/>
      <c r="AL331" s="1097"/>
      <c r="AM331" s="1097"/>
      <c r="AN331" s="1097"/>
      <c r="AO331" s="1097"/>
      <c r="AP331" s="1097"/>
      <c r="AQ331" s="1097"/>
      <c r="AR331" s="1097"/>
      <c r="AS331" s="1097"/>
      <c r="AT331" s="1097"/>
      <c r="AU331" s="1097"/>
      <c r="AV331" s="1097"/>
      <c r="AW331" s="1144" t="s">
        <v>3976</v>
      </c>
      <c r="AX331" s="1117"/>
      <c r="AY331" s="1117"/>
      <c r="AZ331" s="1145" t="s">
        <v>1714</v>
      </c>
      <c r="BA331" s="1117"/>
      <c r="BB331" s="1117"/>
      <c r="BH331" s="1134"/>
      <c r="BI331" s="1093" t="s">
        <v>3971</v>
      </c>
      <c r="BJ331" s="1148"/>
      <c r="BK331" s="1148" t="s">
        <v>1275</v>
      </c>
      <c r="BL331" s="1148" t="s">
        <v>2699</v>
      </c>
      <c r="BM331" s="1148" t="s">
        <v>2701</v>
      </c>
      <c r="BN331" s="1148" t="s">
        <v>2703</v>
      </c>
      <c r="BO331" s="1097"/>
      <c r="BP331" s="1093" t="s">
        <v>3971</v>
      </c>
      <c r="BQ331" s="1148"/>
      <c r="BR331" s="1148" t="s">
        <v>1275</v>
      </c>
      <c r="BS331" s="1148" t="s">
        <v>2699</v>
      </c>
      <c r="BT331" s="1148" t="s">
        <v>2701</v>
      </c>
      <c r="BU331" s="1148" t="s">
        <v>2703</v>
      </c>
      <c r="BV331" s="1097"/>
      <c r="BW331" s="1144" t="s">
        <v>3976</v>
      </c>
      <c r="BX331" s="1117"/>
      <c r="BY331" s="1117"/>
      <c r="BZ331" s="1145" t="s">
        <v>1714</v>
      </c>
      <c r="CA331" s="1117"/>
      <c r="CB331" s="1117"/>
      <c r="CH331" s="1134"/>
      <c r="CI331" s="1093" t="s">
        <v>3971</v>
      </c>
      <c r="CJ331" s="1148"/>
      <c r="CK331" s="1148" t="s">
        <v>1275</v>
      </c>
      <c r="CL331" s="1148" t="s">
        <v>2699</v>
      </c>
      <c r="CM331" s="1148" t="s">
        <v>2701</v>
      </c>
      <c r="CN331" s="1148" t="s">
        <v>2703</v>
      </c>
      <c r="CO331" s="1097"/>
      <c r="CP331" s="1093" t="s">
        <v>3971</v>
      </c>
      <c r="CQ331" s="1148"/>
      <c r="CR331" s="1148" t="s">
        <v>1275</v>
      </c>
      <c r="CS331" s="1148" t="s">
        <v>2699</v>
      </c>
      <c r="CT331" s="1148" t="s">
        <v>2701</v>
      </c>
      <c r="CU331" s="1148" t="s">
        <v>2703</v>
      </c>
      <c r="CV331" s="1097"/>
      <c r="CW331" s="1144" t="s">
        <v>3976</v>
      </c>
      <c r="CX331" s="1117"/>
      <c r="CY331" s="1117"/>
      <c r="CZ331" s="1145" t="s">
        <v>1714</v>
      </c>
      <c r="DA331" s="1117"/>
      <c r="DB331" s="1117"/>
      <c r="DH331" s="1134"/>
      <c r="DI331" s="1093" t="s">
        <v>3971</v>
      </c>
      <c r="DJ331" s="1148"/>
      <c r="DK331" s="1148" t="s">
        <v>1275</v>
      </c>
      <c r="DL331" s="1148" t="s">
        <v>2699</v>
      </c>
      <c r="DM331" s="1148" t="s">
        <v>2701</v>
      </c>
      <c r="DN331" s="1148" t="s">
        <v>2703</v>
      </c>
      <c r="DO331" s="1097"/>
      <c r="DP331" s="1093" t="s">
        <v>3971</v>
      </c>
      <c r="DQ331" s="1148"/>
      <c r="DR331" s="1148" t="s">
        <v>1275</v>
      </c>
      <c r="DS331" s="1148" t="s">
        <v>2699</v>
      </c>
      <c r="DT331" s="1148" t="s">
        <v>2701</v>
      </c>
      <c r="DU331" s="1148" t="s">
        <v>2703</v>
      </c>
      <c r="DV331" s="1097"/>
      <c r="DW331" s="1144" t="s">
        <v>3976</v>
      </c>
      <c r="DX331" s="1117"/>
      <c r="DY331" s="1117"/>
      <c r="DZ331" s="1145" t="s">
        <v>1714</v>
      </c>
      <c r="EA331" s="1117"/>
      <c r="EB331" s="1117"/>
    </row>
    <row r="332" spans="2:132" ht="12.75" x14ac:dyDescent="0.2">
      <c r="P332" s="60" t="e">
        <f t="shared" si="204"/>
        <v>#DIV/0!</v>
      </c>
      <c r="S332" s="60" t="e">
        <f>IF($A$314=1,AZ332,IF($A$314=2,BZ332,IF($A$314=3,CZ332,IF($A$314=4,DZ332))))</f>
        <v>#DIV/0!</v>
      </c>
      <c r="AA332" s="1134"/>
      <c r="AB332" s="1097"/>
      <c r="AC332" s="1097"/>
      <c r="AD332" s="1097"/>
      <c r="AE332" s="1097"/>
      <c r="AF332" s="1097"/>
      <c r="AG332" s="1097"/>
      <c r="AH332" s="1097"/>
      <c r="AI332" s="1097"/>
      <c r="AJ332" s="1097"/>
      <c r="AK332" s="1097"/>
      <c r="AL332" s="1097"/>
      <c r="AM332" s="1097"/>
      <c r="AN332" s="1097"/>
      <c r="AO332" s="1097"/>
      <c r="AP332" s="1097"/>
      <c r="AQ332" s="1097"/>
      <c r="AR332" s="1097"/>
      <c r="AS332" s="1097"/>
      <c r="AT332" s="1097"/>
      <c r="AU332" s="1097"/>
      <c r="AV332" s="1097"/>
      <c r="AW332" s="1144" t="s">
        <v>3977</v>
      </c>
      <c r="AX332" s="1117"/>
      <c r="AY332" s="1117"/>
      <c r="AZ332" s="1145" t="s">
        <v>1714</v>
      </c>
      <c r="BA332" s="1117"/>
      <c r="BB332" s="1117"/>
      <c r="BH332" s="1134"/>
      <c r="BI332" s="1108" t="s">
        <v>3973</v>
      </c>
      <c r="BJ332" s="1131"/>
      <c r="BK332" s="1148">
        <v>1</v>
      </c>
      <c r="BL332" s="1148">
        <v>0.33</v>
      </c>
      <c r="BM332" s="1148">
        <v>0.2</v>
      </c>
      <c r="BN332" s="1148">
        <v>0.14000000000000001</v>
      </c>
      <c r="BO332" s="1097"/>
      <c r="BP332" s="1108" t="s">
        <v>3975</v>
      </c>
      <c r="BQ332" s="1131"/>
      <c r="BR332" s="1148">
        <v>1</v>
      </c>
      <c r="BS332" s="1148">
        <v>0.33</v>
      </c>
      <c r="BT332" s="1148">
        <v>0.2</v>
      </c>
      <c r="BU332" s="1148">
        <v>0.14000000000000001</v>
      </c>
      <c r="BV332" s="1097"/>
      <c r="BW332" s="1144" t="s">
        <v>3977</v>
      </c>
      <c r="BX332" s="1117"/>
      <c r="BY332" s="1117"/>
      <c r="BZ332" s="1145" t="s">
        <v>1714</v>
      </c>
      <c r="CA332" s="1117"/>
      <c r="CB332" s="1117"/>
      <c r="CH332" s="1134"/>
      <c r="CI332" s="1108" t="s">
        <v>3973</v>
      </c>
      <c r="CJ332" s="1131"/>
      <c r="CK332" s="1148">
        <v>1</v>
      </c>
      <c r="CL332" s="1148">
        <v>0.33</v>
      </c>
      <c r="CM332" s="1148">
        <v>0.2</v>
      </c>
      <c r="CN332" s="1148">
        <v>0.14000000000000001</v>
      </c>
      <c r="CO332" s="1097"/>
      <c r="CP332" s="1108" t="s">
        <v>3975</v>
      </c>
      <c r="CQ332" s="1131"/>
      <c r="CR332" s="1148">
        <v>1</v>
      </c>
      <c r="CS332" s="1148">
        <v>0.33</v>
      </c>
      <c r="CT332" s="1148">
        <v>0.2</v>
      </c>
      <c r="CU332" s="1148">
        <v>0.14000000000000001</v>
      </c>
      <c r="CV332" s="1097"/>
      <c r="CW332" s="1144" t="s">
        <v>3977</v>
      </c>
      <c r="CX332" s="1117"/>
      <c r="CY332" s="1117"/>
      <c r="CZ332" s="1145" t="s">
        <v>1714</v>
      </c>
      <c r="DA332" s="1117"/>
      <c r="DB332" s="1117"/>
      <c r="DH332" s="1134"/>
      <c r="DI332" s="1108" t="s">
        <v>3973</v>
      </c>
      <c r="DJ332" s="1131"/>
      <c r="DK332" s="1148">
        <v>1</v>
      </c>
      <c r="DL332" s="1148">
        <v>0.33</v>
      </c>
      <c r="DM332" s="1148">
        <v>0.2</v>
      </c>
      <c r="DN332" s="1148">
        <v>0.14000000000000001</v>
      </c>
      <c r="DO332" s="1097"/>
      <c r="DP332" s="1108" t="s">
        <v>3975</v>
      </c>
      <c r="DQ332" s="1131"/>
      <c r="DR332" s="1148">
        <v>1</v>
      </c>
      <c r="DS332" s="1148">
        <v>0.33</v>
      </c>
      <c r="DT332" s="1148">
        <v>0.2</v>
      </c>
      <c r="DU332" s="1148">
        <v>0.14000000000000001</v>
      </c>
      <c r="DV332" s="1097"/>
      <c r="DW332" s="1144" t="s">
        <v>3977</v>
      </c>
      <c r="DX332" s="1117"/>
      <c r="DY332" s="1117"/>
      <c r="DZ332" s="1145" t="s">
        <v>1714</v>
      </c>
      <c r="EA332" s="1117"/>
      <c r="EB332" s="1117"/>
    </row>
    <row r="333" spans="2:132" ht="12.75" x14ac:dyDescent="0.2">
      <c r="AA333" s="1134"/>
      <c r="AB333" s="1108" t="s">
        <v>3978</v>
      </c>
      <c r="AC333" s="1124"/>
      <c r="AD333" s="1124"/>
      <c r="AE333" s="1124"/>
      <c r="AF333" s="1124"/>
      <c r="AG333" s="1097"/>
      <c r="AH333" s="1097"/>
      <c r="AI333" s="1108" t="s">
        <v>1667</v>
      </c>
      <c r="AJ333" s="1108"/>
      <c r="AK333" s="1124"/>
      <c r="AL333" s="1124"/>
      <c r="AM333" s="1124"/>
      <c r="AN333" s="1124"/>
      <c r="AO333" s="1124"/>
      <c r="AP333" s="1124"/>
      <c r="AQ333" s="1124"/>
      <c r="AR333" s="1124"/>
      <c r="AS333" s="1100"/>
      <c r="AT333" s="1100"/>
      <c r="AU333" s="1097"/>
      <c r="AV333" s="1097"/>
      <c r="AW333" s="1097"/>
      <c r="AX333" s="1097"/>
      <c r="AY333" s="1097"/>
      <c r="AZ333" s="1097"/>
      <c r="BA333" s="1097"/>
      <c r="BB333" s="1097"/>
      <c r="BH333" s="1134"/>
      <c r="BI333" s="1097"/>
      <c r="BJ333" s="1097"/>
      <c r="BK333" s="1097"/>
      <c r="BL333" s="1097"/>
      <c r="BM333" s="1097"/>
      <c r="BN333" s="1097"/>
      <c r="BO333" s="1097"/>
      <c r="BP333" s="1097"/>
      <c r="BQ333" s="1097"/>
      <c r="BR333" s="1097"/>
      <c r="BS333" s="1097"/>
      <c r="BT333" s="1097"/>
      <c r="BU333" s="1097"/>
      <c r="BV333" s="1097"/>
      <c r="BW333" s="1097"/>
      <c r="BX333" s="1097"/>
      <c r="BY333" s="1097"/>
      <c r="BZ333" s="1097"/>
      <c r="CA333" s="1097"/>
      <c r="CB333" s="1097"/>
      <c r="CH333" s="1134"/>
      <c r="CI333" s="1097"/>
      <c r="CJ333" s="1097"/>
      <c r="CK333" s="1097"/>
      <c r="CL333" s="1097"/>
      <c r="CM333" s="1097"/>
      <c r="CN333" s="1097"/>
      <c r="CO333" s="1097"/>
      <c r="CP333" s="1097"/>
      <c r="CQ333" s="1097"/>
      <c r="CR333" s="1097"/>
      <c r="CS333" s="1097"/>
      <c r="CT333" s="1097"/>
      <c r="CU333" s="1097"/>
      <c r="CV333" s="1097"/>
      <c r="CW333" s="1097"/>
      <c r="CX333" s="1097"/>
      <c r="CY333" s="1097"/>
      <c r="CZ333" s="1097"/>
      <c r="DA333" s="1097"/>
      <c r="DB333" s="1097"/>
      <c r="DH333" s="1134"/>
      <c r="DI333" s="1097"/>
      <c r="DJ333" s="1097"/>
      <c r="DK333" s="1097"/>
      <c r="DL333" s="1097"/>
      <c r="DM333" s="1097"/>
      <c r="DN333" s="1097"/>
      <c r="DO333" s="1097"/>
      <c r="DP333" s="1097"/>
      <c r="DQ333" s="1097"/>
      <c r="DR333" s="1097"/>
      <c r="DS333" s="1097"/>
      <c r="DT333" s="1097"/>
      <c r="DU333" s="1097"/>
      <c r="DV333" s="1097"/>
      <c r="DW333" s="1097"/>
      <c r="DX333" s="1097"/>
      <c r="DY333" s="1097"/>
      <c r="DZ333" s="1097"/>
      <c r="EA333" s="1097"/>
      <c r="EB333" s="1097"/>
    </row>
    <row r="334" spans="2:132" x14ac:dyDescent="0.2">
      <c r="AA334" s="1117"/>
      <c r="AB334" s="1108" t="s">
        <v>3411</v>
      </c>
      <c r="AC334" s="1148" t="s">
        <v>1275</v>
      </c>
      <c r="AD334" s="1148" t="s">
        <v>2699</v>
      </c>
      <c r="AE334" s="1148" t="s">
        <v>2701</v>
      </c>
      <c r="AF334" s="1148" t="s">
        <v>2703</v>
      </c>
      <c r="AG334" s="1097"/>
      <c r="AH334" s="1097"/>
      <c r="AI334" s="1108" t="s">
        <v>3411</v>
      </c>
      <c r="AJ334" s="1108"/>
      <c r="AK334" s="1148" t="s">
        <v>1275</v>
      </c>
      <c r="AL334" s="1148"/>
      <c r="AM334" s="1148" t="s">
        <v>2699</v>
      </c>
      <c r="AN334" s="1148"/>
      <c r="AO334" s="1148" t="s">
        <v>2701</v>
      </c>
      <c r="AP334" s="1148"/>
      <c r="AQ334" s="1148" t="s">
        <v>2703</v>
      </c>
      <c r="AR334" s="1148"/>
      <c r="AS334" s="1133"/>
      <c r="AT334" s="1133"/>
      <c r="AU334" s="1097"/>
      <c r="AV334" s="1097"/>
      <c r="AW334" s="1097"/>
      <c r="AX334" s="1097"/>
      <c r="AY334" s="1097"/>
      <c r="AZ334" s="1097"/>
      <c r="BA334" s="1097"/>
      <c r="BB334" s="1097"/>
      <c r="BH334" s="1117"/>
      <c r="BI334" s="1097"/>
      <c r="BJ334" s="1097"/>
      <c r="BK334" s="1097"/>
      <c r="BL334" s="1097"/>
      <c r="BM334" s="1097"/>
      <c r="BN334" s="1097"/>
      <c r="BO334" s="1097"/>
      <c r="BP334" s="1097"/>
      <c r="BQ334" s="1097"/>
      <c r="BR334" s="1097"/>
      <c r="BS334" s="1097"/>
      <c r="BT334" s="1097"/>
      <c r="BU334" s="1097"/>
      <c r="BV334" s="1097"/>
      <c r="BW334" s="1097"/>
      <c r="BX334" s="1097"/>
      <c r="BY334" s="1097"/>
      <c r="BZ334" s="1097"/>
      <c r="CA334" s="1097"/>
      <c r="CB334" s="1097"/>
      <c r="CH334" s="1117"/>
      <c r="CI334" s="1097"/>
      <c r="CJ334" s="1097"/>
      <c r="CK334" s="1097"/>
      <c r="CL334" s="1097"/>
      <c r="CM334" s="1097"/>
      <c r="CN334" s="1097"/>
      <c r="CO334" s="1097"/>
      <c r="CP334" s="1097"/>
      <c r="CQ334" s="1097"/>
      <c r="CR334" s="1097"/>
      <c r="CS334" s="1097"/>
      <c r="CT334" s="1097"/>
      <c r="CU334" s="1097"/>
      <c r="CV334" s="1097"/>
      <c r="CW334" s="1097"/>
      <c r="CX334" s="1097"/>
      <c r="CY334" s="1097"/>
      <c r="CZ334" s="1097"/>
      <c r="DA334" s="1097"/>
      <c r="DB334" s="1097"/>
      <c r="DH334" s="1117"/>
      <c r="DI334" s="1097"/>
      <c r="DJ334" s="1097"/>
      <c r="DK334" s="1097"/>
      <c r="DL334" s="1097"/>
      <c r="DM334" s="1097"/>
      <c r="DN334" s="1097"/>
      <c r="DO334" s="1097"/>
      <c r="DP334" s="1097"/>
      <c r="DQ334" s="1097"/>
      <c r="DR334" s="1097"/>
      <c r="DS334" s="1097"/>
      <c r="DT334" s="1097"/>
      <c r="DU334" s="1097"/>
      <c r="DV334" s="1097"/>
      <c r="DW334" s="1097"/>
      <c r="DX334" s="1097"/>
      <c r="DY334" s="1097"/>
      <c r="DZ334" s="1097"/>
      <c r="EA334" s="1097"/>
      <c r="EB334" s="1097"/>
    </row>
    <row r="335" spans="2:132" ht="12.75" x14ac:dyDescent="0.2">
      <c r="B335" s="60" t="e">
        <f t="shared" ref="B335:B341" si="206">IF($A$314=1,AB333,IF($A$314=2,BI335,IF($A$314=3,CI335,IF($A$314=4,DI335))))</f>
        <v>#DIV/0!</v>
      </c>
      <c r="I335" s="60" t="e">
        <f t="shared" ref="I335:I341" si="207">IF($A$314=1,AI333,IF($A$314=2,BP335,IF($A$314=3,CP335,IF($A$314=4,DP335))))</f>
        <v>#DIV/0!</v>
      </c>
      <c r="AA335" s="1134"/>
      <c r="AB335" s="1144" t="s">
        <v>3970</v>
      </c>
      <c r="AC335" s="1152">
        <v>1</v>
      </c>
      <c r="AD335" s="1152">
        <v>1</v>
      </c>
      <c r="AE335" s="1152">
        <v>1</v>
      </c>
      <c r="AF335" s="1152">
        <v>1</v>
      </c>
      <c r="AG335" s="1097"/>
      <c r="AH335" s="1097"/>
      <c r="AI335" s="1144" t="s">
        <v>3970</v>
      </c>
      <c r="AJ335" s="1144"/>
      <c r="AK335" s="1152">
        <v>1</v>
      </c>
      <c r="AL335" s="1152"/>
      <c r="AM335" s="1152">
        <v>1</v>
      </c>
      <c r="AN335" s="1152"/>
      <c r="AO335" s="1152">
        <v>1</v>
      </c>
      <c r="AP335" s="1152"/>
      <c r="AQ335" s="1152">
        <v>1</v>
      </c>
      <c r="AR335" s="1152"/>
      <c r="AS335" s="1133"/>
      <c r="AT335" s="1133"/>
      <c r="AU335" s="1097"/>
      <c r="AV335" s="1097"/>
      <c r="AW335" s="1097" t="s">
        <v>1668</v>
      </c>
      <c r="BH335" s="1134"/>
      <c r="BI335" s="1108" t="s">
        <v>3978</v>
      </c>
      <c r="BJ335" s="1124"/>
      <c r="BK335" s="1124"/>
      <c r="BL335" s="1124"/>
      <c r="BM335" s="1124"/>
      <c r="BN335" s="1097"/>
      <c r="BO335" s="1097"/>
      <c r="BP335" s="1108" t="s">
        <v>1667</v>
      </c>
      <c r="BQ335" s="1124"/>
      <c r="BR335" s="1124"/>
      <c r="BS335" s="1124"/>
      <c r="BT335" s="1124"/>
      <c r="BU335" s="1100"/>
      <c r="BV335" s="1097"/>
      <c r="BW335" s="1097" t="s">
        <v>1668</v>
      </c>
      <c r="CH335" s="1134"/>
      <c r="CI335" s="1108" t="s">
        <v>3978</v>
      </c>
      <c r="CJ335" s="1124"/>
      <c r="CK335" s="1124"/>
      <c r="CL335" s="1124"/>
      <c r="CM335" s="1124"/>
      <c r="CN335" s="1097"/>
      <c r="CO335" s="1097"/>
      <c r="CP335" s="1108" t="s">
        <v>1667</v>
      </c>
      <c r="CQ335" s="1124"/>
      <c r="CR335" s="1124"/>
      <c r="CS335" s="1124"/>
      <c r="CT335" s="1124"/>
      <c r="CU335" s="1100"/>
      <c r="CV335" s="1097"/>
      <c r="CW335" s="1097" t="s">
        <v>1668</v>
      </c>
      <c r="DH335" s="1134"/>
      <c r="DI335" s="1108" t="s">
        <v>3978</v>
      </c>
      <c r="DJ335" s="1124"/>
      <c r="DK335" s="1124"/>
      <c r="DL335" s="1124"/>
      <c r="DM335" s="1124"/>
      <c r="DN335" s="1097"/>
      <c r="DO335" s="1097"/>
      <c r="DP335" s="1108" t="s">
        <v>1667</v>
      </c>
      <c r="DQ335" s="1124"/>
      <c r="DR335" s="1124"/>
      <c r="DS335" s="1124"/>
      <c r="DT335" s="1124"/>
      <c r="DU335" s="1100"/>
      <c r="DV335" s="1097"/>
      <c r="DW335" s="1097" t="s">
        <v>1668</v>
      </c>
    </row>
    <row r="336" spans="2:132" x14ac:dyDescent="0.2">
      <c r="B336" s="60" t="e">
        <f t="shared" si="206"/>
        <v>#DIV/0!</v>
      </c>
      <c r="C336" s="60" t="e">
        <f t="shared" ref="C336:F341" si="208">IF($A$314=1,AC334,IF($A$314=2,BJ336,IF($A$314=3,CJ336,IF($A$314=4,DJ336))))</f>
        <v>#DIV/0!</v>
      </c>
      <c r="D336" s="60" t="e">
        <f t="shared" si="208"/>
        <v>#DIV/0!</v>
      </c>
      <c r="E336" s="60" t="e">
        <f t="shared" si="208"/>
        <v>#DIV/0!</v>
      </c>
      <c r="F336" s="60" t="e">
        <f t="shared" si="208"/>
        <v>#DIV/0!</v>
      </c>
      <c r="I336" s="60" t="e">
        <f t="shared" si="207"/>
        <v>#DIV/0!</v>
      </c>
      <c r="J336" s="60" t="e">
        <f t="shared" ref="J336:J341" si="209">IF($A$314=1,AK334,IF($A$314=2,BQ336,IF($A$314=3,CQ336,IF($A$314=4,DQ336))))</f>
        <v>#DIV/0!</v>
      </c>
      <c r="K336" s="60" t="e">
        <f t="shared" ref="K336:K341" si="210">IF($A$314=1,AM334,IF($A$314=2,BR336,IF($A$314=3,CR336,IF($A$314=4,DR336))))</f>
        <v>#DIV/0!</v>
      </c>
      <c r="L336" s="60" t="e">
        <f t="shared" ref="L336:L341" si="211">IF($A$314=1,AO334,IF($A$314=2,BS336,IF($A$314=3,CS336,IF($A$314=4,DS336))))</f>
        <v>#DIV/0!</v>
      </c>
      <c r="M336" s="60" t="e">
        <f t="shared" ref="M336:M341" si="212">IF($A$314=1,AQ334,IF($A$314=2,BT336,IF($A$314=3,CT336,IF($A$314=4,DT336))))</f>
        <v>#DIV/0!</v>
      </c>
      <c r="AA336" s="1117"/>
      <c r="AB336" s="1144" t="s">
        <v>3972</v>
      </c>
      <c r="AC336" s="1152">
        <v>1</v>
      </c>
      <c r="AD336" s="1152">
        <v>1</v>
      </c>
      <c r="AE336" s="1152">
        <v>1</v>
      </c>
      <c r="AF336" s="1152">
        <v>1</v>
      </c>
      <c r="AG336" s="1097"/>
      <c r="AH336" s="1097"/>
      <c r="AI336" s="1144" t="s">
        <v>3972</v>
      </c>
      <c r="AJ336" s="1144"/>
      <c r="AK336" s="1152">
        <v>1</v>
      </c>
      <c r="AL336" s="1152"/>
      <c r="AM336" s="1152">
        <v>1</v>
      </c>
      <c r="AN336" s="1152"/>
      <c r="AO336" s="1152">
        <v>1</v>
      </c>
      <c r="AP336" s="1152"/>
      <c r="AQ336" s="1152">
        <v>1</v>
      </c>
      <c r="AR336" s="1152"/>
      <c r="AS336" s="1097"/>
      <c r="AT336" s="1097"/>
      <c r="AU336" s="1097"/>
      <c r="AV336" s="1097"/>
      <c r="AW336" s="1150" t="s">
        <v>1669</v>
      </c>
      <c r="BH336" s="1117"/>
      <c r="BI336" s="1108" t="s">
        <v>3411</v>
      </c>
      <c r="BJ336" s="1148" t="s">
        <v>1275</v>
      </c>
      <c r="BK336" s="1148" t="s">
        <v>2699</v>
      </c>
      <c r="BL336" s="1148" t="s">
        <v>2701</v>
      </c>
      <c r="BM336" s="1148" t="s">
        <v>2703</v>
      </c>
      <c r="BN336" s="1097"/>
      <c r="BO336" s="1097"/>
      <c r="BP336" s="1108" t="s">
        <v>3411</v>
      </c>
      <c r="BQ336" s="1148" t="s">
        <v>1275</v>
      </c>
      <c r="BR336" s="1148" t="s">
        <v>2699</v>
      </c>
      <c r="BS336" s="1148" t="s">
        <v>2701</v>
      </c>
      <c r="BT336" s="1148" t="s">
        <v>2703</v>
      </c>
      <c r="BU336" s="1133"/>
      <c r="BV336" s="1097"/>
      <c r="BW336" s="1150" t="s">
        <v>1669</v>
      </c>
      <c r="CH336" s="1117"/>
      <c r="CI336" s="1108" t="s">
        <v>3411</v>
      </c>
      <c r="CJ336" s="1148" t="s">
        <v>1275</v>
      </c>
      <c r="CK336" s="1148" t="s">
        <v>2699</v>
      </c>
      <c r="CL336" s="1148" t="s">
        <v>2701</v>
      </c>
      <c r="CM336" s="1148" t="s">
        <v>2703</v>
      </c>
      <c r="CN336" s="1097"/>
      <c r="CO336" s="1097"/>
      <c r="CP336" s="1108" t="s">
        <v>3411</v>
      </c>
      <c r="CQ336" s="1148" t="s">
        <v>1275</v>
      </c>
      <c r="CR336" s="1148" t="s">
        <v>2699</v>
      </c>
      <c r="CS336" s="1148" t="s">
        <v>2701</v>
      </c>
      <c r="CT336" s="1148" t="s">
        <v>2703</v>
      </c>
      <c r="CU336" s="1133"/>
      <c r="CV336" s="1097"/>
      <c r="CW336" s="1150" t="s">
        <v>1669</v>
      </c>
      <c r="DH336" s="1117"/>
      <c r="DI336" s="1108" t="s">
        <v>3411</v>
      </c>
      <c r="DJ336" s="1148" t="s">
        <v>1275</v>
      </c>
      <c r="DK336" s="1148" t="s">
        <v>2699</v>
      </c>
      <c r="DL336" s="1148" t="s">
        <v>2701</v>
      </c>
      <c r="DM336" s="1148" t="s">
        <v>2703</v>
      </c>
      <c r="DN336" s="1097"/>
      <c r="DO336" s="1097"/>
      <c r="DP336" s="1108" t="s">
        <v>3411</v>
      </c>
      <c r="DQ336" s="1148" t="s">
        <v>1275</v>
      </c>
      <c r="DR336" s="1148" t="s">
        <v>2699</v>
      </c>
      <c r="DS336" s="1148" t="s">
        <v>2701</v>
      </c>
      <c r="DT336" s="1148" t="s">
        <v>2703</v>
      </c>
      <c r="DU336" s="1133"/>
      <c r="DV336" s="1097"/>
      <c r="DW336" s="1150" t="s">
        <v>1669</v>
      </c>
    </row>
    <row r="337" spans="2:132" x14ac:dyDescent="0.2">
      <c r="B337" s="60" t="e">
        <f t="shared" si="206"/>
        <v>#DIV/0!</v>
      </c>
      <c r="C337" s="60" t="e">
        <f t="shared" si="208"/>
        <v>#DIV/0!</v>
      </c>
      <c r="D337" s="60" t="e">
        <f t="shared" si="208"/>
        <v>#DIV/0!</v>
      </c>
      <c r="E337" s="60" t="e">
        <f t="shared" si="208"/>
        <v>#DIV/0!</v>
      </c>
      <c r="F337" s="60" t="e">
        <f t="shared" si="208"/>
        <v>#DIV/0!</v>
      </c>
      <c r="I337" s="60" t="e">
        <f t="shared" si="207"/>
        <v>#DIV/0!</v>
      </c>
      <c r="J337" s="60" t="e">
        <f t="shared" si="209"/>
        <v>#DIV/0!</v>
      </c>
      <c r="K337" s="60" t="e">
        <f t="shared" si="210"/>
        <v>#DIV/0!</v>
      </c>
      <c r="L337" s="60" t="e">
        <f t="shared" si="211"/>
        <v>#DIV/0!</v>
      </c>
      <c r="M337" s="60" t="e">
        <f t="shared" si="212"/>
        <v>#DIV/0!</v>
      </c>
      <c r="AA337" s="1117"/>
      <c r="AB337" s="1144" t="s">
        <v>3974</v>
      </c>
      <c r="AC337" s="1152">
        <v>1</v>
      </c>
      <c r="AD337" s="1152">
        <v>1</v>
      </c>
      <c r="AE337" s="1152">
        <v>1</v>
      </c>
      <c r="AF337" s="1152">
        <v>1</v>
      </c>
      <c r="AG337" s="1097"/>
      <c r="AH337" s="1097"/>
      <c r="AI337" s="1144" t="s">
        <v>3974</v>
      </c>
      <c r="AJ337" s="1144"/>
      <c r="AK337" s="1152">
        <v>1</v>
      </c>
      <c r="AL337" s="1152"/>
      <c r="AM337" s="1152">
        <v>1</v>
      </c>
      <c r="AN337" s="1152"/>
      <c r="AO337" s="1152">
        <v>1</v>
      </c>
      <c r="AP337" s="1152"/>
      <c r="AQ337" s="1152">
        <v>1</v>
      </c>
      <c r="AR337" s="1152"/>
      <c r="AS337" s="1097"/>
      <c r="AT337" s="1097"/>
      <c r="AU337" s="1097"/>
      <c r="AV337" s="1097"/>
      <c r="AW337" s="1096"/>
      <c r="AX337" s="1097"/>
      <c r="AY337" s="1117"/>
      <c r="AZ337" s="1117"/>
      <c r="BA337" s="1117"/>
      <c r="BB337" s="1097"/>
      <c r="BH337" s="1117"/>
      <c r="BI337" s="1144" t="s">
        <v>3970</v>
      </c>
      <c r="BJ337" s="1152">
        <v>1</v>
      </c>
      <c r="BK337" s="1152">
        <v>1</v>
      </c>
      <c r="BL337" s="1152">
        <v>1</v>
      </c>
      <c r="BM337" s="1152">
        <v>1</v>
      </c>
      <c r="BN337" s="1097"/>
      <c r="BO337" s="1097"/>
      <c r="BP337" s="1144" t="s">
        <v>3970</v>
      </c>
      <c r="BQ337" s="1152">
        <v>1</v>
      </c>
      <c r="BR337" s="1152">
        <v>1</v>
      </c>
      <c r="BS337" s="1152">
        <v>1</v>
      </c>
      <c r="BT337" s="1152">
        <v>1</v>
      </c>
      <c r="BU337" s="1133"/>
      <c r="BV337" s="1097"/>
      <c r="BW337" s="1096"/>
      <c r="BX337" s="1097"/>
      <c r="BY337" s="1117"/>
      <c r="BZ337" s="1117"/>
      <c r="CA337" s="1117"/>
      <c r="CB337" s="1097"/>
      <c r="CH337" s="1117"/>
      <c r="CI337" s="1144" t="s">
        <v>3970</v>
      </c>
      <c r="CJ337" s="1152">
        <v>1</v>
      </c>
      <c r="CK337" s="1152">
        <v>1</v>
      </c>
      <c r="CL337" s="1152">
        <v>1</v>
      </c>
      <c r="CM337" s="1152">
        <v>1</v>
      </c>
      <c r="CN337" s="1097"/>
      <c r="CO337" s="1097"/>
      <c r="CP337" s="1144" t="s">
        <v>3970</v>
      </c>
      <c r="CQ337" s="1152">
        <v>1</v>
      </c>
      <c r="CR337" s="1152">
        <v>1</v>
      </c>
      <c r="CS337" s="1152">
        <v>1</v>
      </c>
      <c r="CT337" s="1152">
        <v>1</v>
      </c>
      <c r="CU337" s="1133"/>
      <c r="CV337" s="1097"/>
      <c r="CW337" s="1096"/>
      <c r="CX337" s="1097"/>
      <c r="CY337" s="1117"/>
      <c r="CZ337" s="1117"/>
      <c r="DA337" s="1117"/>
      <c r="DB337" s="1097"/>
      <c r="DH337" s="1117"/>
      <c r="DI337" s="1144" t="s">
        <v>3970</v>
      </c>
      <c r="DJ337" s="1152">
        <v>1</v>
      </c>
      <c r="DK337" s="1152">
        <v>1</v>
      </c>
      <c r="DL337" s="1152">
        <v>1</v>
      </c>
      <c r="DM337" s="1152">
        <v>1</v>
      </c>
      <c r="DN337" s="1097"/>
      <c r="DO337" s="1097"/>
      <c r="DP337" s="1144" t="s">
        <v>3970</v>
      </c>
      <c r="DQ337" s="1152">
        <v>1</v>
      </c>
      <c r="DR337" s="1152">
        <v>1</v>
      </c>
      <c r="DS337" s="1152">
        <v>1</v>
      </c>
      <c r="DT337" s="1152">
        <v>1</v>
      </c>
      <c r="DU337" s="1133"/>
      <c r="DV337" s="1097"/>
      <c r="DW337" s="1096"/>
      <c r="DX337" s="1097"/>
      <c r="DY337" s="1117"/>
      <c r="DZ337" s="1117"/>
      <c r="EA337" s="1117"/>
      <c r="EB337" s="1097"/>
    </row>
    <row r="338" spans="2:132" x14ac:dyDescent="0.2">
      <c r="B338" s="60" t="e">
        <f t="shared" si="206"/>
        <v>#DIV/0!</v>
      </c>
      <c r="C338" s="60" t="e">
        <f t="shared" si="208"/>
        <v>#DIV/0!</v>
      </c>
      <c r="D338" s="60" t="e">
        <f t="shared" si="208"/>
        <v>#DIV/0!</v>
      </c>
      <c r="E338" s="60" t="e">
        <f t="shared" si="208"/>
        <v>#DIV/0!</v>
      </c>
      <c r="F338" s="60" t="e">
        <f t="shared" si="208"/>
        <v>#DIV/0!</v>
      </c>
      <c r="I338" s="60" t="e">
        <f t="shared" si="207"/>
        <v>#DIV/0!</v>
      </c>
      <c r="J338" s="60" t="e">
        <f t="shared" si="209"/>
        <v>#DIV/0!</v>
      </c>
      <c r="K338" s="60" t="e">
        <f t="shared" si="210"/>
        <v>#DIV/0!</v>
      </c>
      <c r="L338" s="60" t="e">
        <f t="shared" si="211"/>
        <v>#DIV/0!</v>
      </c>
      <c r="M338" s="60" t="e">
        <f t="shared" si="212"/>
        <v>#DIV/0!</v>
      </c>
      <c r="AA338" s="1117"/>
      <c r="AB338" s="1144" t="s">
        <v>3976</v>
      </c>
      <c r="AC338" s="1152">
        <v>1</v>
      </c>
      <c r="AD338" s="1152">
        <v>1</v>
      </c>
      <c r="AE338" s="1152">
        <v>1</v>
      </c>
      <c r="AF338" s="1152">
        <v>1</v>
      </c>
      <c r="AG338" s="1097"/>
      <c r="AH338" s="1097"/>
      <c r="AI338" s="1144" t="s">
        <v>3976</v>
      </c>
      <c r="AJ338" s="1144"/>
      <c r="AK338" s="1152">
        <v>1</v>
      </c>
      <c r="AL338" s="1152"/>
      <c r="AM338" s="1152">
        <v>1</v>
      </c>
      <c r="AN338" s="1152"/>
      <c r="AO338" s="1152">
        <v>1</v>
      </c>
      <c r="AP338" s="1152"/>
      <c r="AQ338" s="1152">
        <v>1</v>
      </c>
      <c r="AR338" s="1152"/>
      <c r="AS338" s="1097"/>
      <c r="AT338" s="1097"/>
      <c r="AU338" s="1097"/>
      <c r="AV338" s="1097"/>
      <c r="AW338" s="1097" t="s">
        <v>1670</v>
      </c>
      <c r="AX338" s="1117"/>
      <c r="AY338" s="1117"/>
      <c r="AZ338" s="1117"/>
      <c r="BA338" s="1117"/>
      <c r="BB338" s="1117"/>
      <c r="BH338" s="1117"/>
      <c r="BI338" s="1144" t="s">
        <v>3972</v>
      </c>
      <c r="BJ338" s="1152">
        <v>1</v>
      </c>
      <c r="BK338" s="1152">
        <v>1</v>
      </c>
      <c r="BL338" s="1152">
        <v>1</v>
      </c>
      <c r="BM338" s="1152">
        <v>1</v>
      </c>
      <c r="BN338" s="1097"/>
      <c r="BO338" s="1097"/>
      <c r="BP338" s="1144" t="s">
        <v>3972</v>
      </c>
      <c r="BQ338" s="1152">
        <v>1</v>
      </c>
      <c r="BR338" s="1152">
        <v>1</v>
      </c>
      <c r="BS338" s="1152">
        <v>1</v>
      </c>
      <c r="BT338" s="1152">
        <v>1</v>
      </c>
      <c r="BU338" s="1097"/>
      <c r="BV338" s="1097"/>
      <c r="BW338" s="1097" t="s">
        <v>1670</v>
      </c>
      <c r="BX338" s="1117"/>
      <c r="BY338" s="1117"/>
      <c r="BZ338" s="1117"/>
      <c r="CA338" s="1117"/>
      <c r="CB338" s="1117"/>
      <c r="CH338" s="1117"/>
      <c r="CI338" s="1144" t="s">
        <v>3972</v>
      </c>
      <c r="CJ338" s="1152">
        <v>1</v>
      </c>
      <c r="CK338" s="1152">
        <v>1</v>
      </c>
      <c r="CL338" s="1152">
        <v>1</v>
      </c>
      <c r="CM338" s="1152">
        <v>1</v>
      </c>
      <c r="CN338" s="1097"/>
      <c r="CO338" s="1097"/>
      <c r="CP338" s="1144" t="s">
        <v>3972</v>
      </c>
      <c r="CQ338" s="1152">
        <v>1</v>
      </c>
      <c r="CR338" s="1152">
        <v>1</v>
      </c>
      <c r="CS338" s="1152">
        <v>1</v>
      </c>
      <c r="CT338" s="1152">
        <v>1</v>
      </c>
      <c r="CU338" s="1097"/>
      <c r="CV338" s="1097"/>
      <c r="CW338" s="1097" t="s">
        <v>1670</v>
      </c>
      <c r="CX338" s="1117"/>
      <c r="CY338" s="1117"/>
      <c r="CZ338" s="1117"/>
      <c r="DA338" s="1117"/>
      <c r="DB338" s="1117"/>
      <c r="DH338" s="1117"/>
      <c r="DI338" s="1144" t="s">
        <v>3972</v>
      </c>
      <c r="DJ338" s="1152">
        <v>1</v>
      </c>
      <c r="DK338" s="1152">
        <v>1</v>
      </c>
      <c r="DL338" s="1152">
        <v>1</v>
      </c>
      <c r="DM338" s="1152">
        <v>1</v>
      </c>
      <c r="DN338" s="1097"/>
      <c r="DO338" s="1097"/>
      <c r="DP338" s="1144" t="s">
        <v>3972</v>
      </c>
      <c r="DQ338" s="1152">
        <v>1</v>
      </c>
      <c r="DR338" s="1152">
        <v>1</v>
      </c>
      <c r="DS338" s="1152">
        <v>1</v>
      </c>
      <c r="DT338" s="1152">
        <v>1</v>
      </c>
      <c r="DU338" s="1097"/>
      <c r="DV338" s="1097"/>
      <c r="DW338" s="1097" t="s">
        <v>1670</v>
      </c>
      <c r="DX338" s="1117"/>
      <c r="DY338" s="1117"/>
      <c r="DZ338" s="1117"/>
      <c r="EA338" s="1117"/>
      <c r="EB338" s="1117"/>
    </row>
    <row r="339" spans="2:132" x14ac:dyDescent="0.2">
      <c r="B339" s="60" t="e">
        <f t="shared" si="206"/>
        <v>#DIV/0!</v>
      </c>
      <c r="C339" s="60" t="e">
        <f t="shared" si="208"/>
        <v>#DIV/0!</v>
      </c>
      <c r="D339" s="60" t="e">
        <f t="shared" si="208"/>
        <v>#DIV/0!</v>
      </c>
      <c r="E339" s="60" t="e">
        <f t="shared" si="208"/>
        <v>#DIV/0!</v>
      </c>
      <c r="F339" s="60" t="e">
        <f t="shared" si="208"/>
        <v>#DIV/0!</v>
      </c>
      <c r="I339" s="60" t="e">
        <f t="shared" si="207"/>
        <v>#DIV/0!</v>
      </c>
      <c r="J339" s="60" t="e">
        <f t="shared" si="209"/>
        <v>#DIV/0!</v>
      </c>
      <c r="K339" s="60" t="e">
        <f t="shared" si="210"/>
        <v>#DIV/0!</v>
      </c>
      <c r="L339" s="60" t="e">
        <f t="shared" si="211"/>
        <v>#DIV/0!</v>
      </c>
      <c r="M339" s="60" t="e">
        <f t="shared" si="212"/>
        <v>#DIV/0!</v>
      </c>
      <c r="AA339" s="1117"/>
      <c r="AB339" s="1144" t="s">
        <v>3977</v>
      </c>
      <c r="AC339" s="1152">
        <v>1</v>
      </c>
      <c r="AD339" s="1152">
        <v>1</v>
      </c>
      <c r="AE339" s="1152">
        <v>1</v>
      </c>
      <c r="AF339" s="1152">
        <v>1</v>
      </c>
      <c r="AG339" s="1097"/>
      <c r="AH339" s="1097"/>
      <c r="AI339" s="1144" t="s">
        <v>3977</v>
      </c>
      <c r="AJ339" s="1144"/>
      <c r="AK339" s="1152">
        <v>1</v>
      </c>
      <c r="AL339" s="1152"/>
      <c r="AM339" s="1152">
        <v>1</v>
      </c>
      <c r="AN339" s="1152"/>
      <c r="AO339" s="1152">
        <v>1</v>
      </c>
      <c r="AP339" s="1152"/>
      <c r="AQ339" s="1152">
        <v>1</v>
      </c>
      <c r="AR339" s="1152"/>
      <c r="AS339" s="1097"/>
      <c r="AT339" s="1097"/>
      <c r="AU339" s="1097"/>
      <c r="AV339" s="1097"/>
      <c r="AW339" s="1099" t="s">
        <v>1671</v>
      </c>
      <c r="AX339" s="1117"/>
      <c r="AY339" s="1117"/>
      <c r="AZ339" s="1117"/>
      <c r="BA339" s="1117"/>
      <c r="BB339" s="1117"/>
      <c r="BH339" s="1117"/>
      <c r="BI339" s="1144" t="s">
        <v>3974</v>
      </c>
      <c r="BJ339" s="1152">
        <v>1</v>
      </c>
      <c r="BK339" s="1152">
        <v>1</v>
      </c>
      <c r="BL339" s="1152">
        <v>1</v>
      </c>
      <c r="BM339" s="1152">
        <v>1</v>
      </c>
      <c r="BN339" s="1097"/>
      <c r="BO339" s="1097"/>
      <c r="BP339" s="1144" t="s">
        <v>3974</v>
      </c>
      <c r="BQ339" s="1152">
        <v>1</v>
      </c>
      <c r="BR339" s="1152">
        <v>1</v>
      </c>
      <c r="BS339" s="1152">
        <v>1</v>
      </c>
      <c r="BT339" s="1152">
        <v>1</v>
      </c>
      <c r="BU339" s="1097"/>
      <c r="BV339" s="1097"/>
      <c r="BW339" s="1099" t="s">
        <v>1671</v>
      </c>
      <c r="BX339" s="1117"/>
      <c r="BY339" s="1117"/>
      <c r="BZ339" s="1117"/>
      <c r="CA339" s="1117"/>
      <c r="CB339" s="1117"/>
      <c r="CH339" s="1117"/>
      <c r="CI339" s="1144" t="s">
        <v>3974</v>
      </c>
      <c r="CJ339" s="1152">
        <v>1</v>
      </c>
      <c r="CK339" s="1152">
        <v>1</v>
      </c>
      <c r="CL339" s="1152">
        <v>1</v>
      </c>
      <c r="CM339" s="1152">
        <v>1</v>
      </c>
      <c r="CN339" s="1097"/>
      <c r="CO339" s="1097"/>
      <c r="CP339" s="1144" t="s">
        <v>3974</v>
      </c>
      <c r="CQ339" s="1152">
        <v>1</v>
      </c>
      <c r="CR339" s="1152">
        <v>1</v>
      </c>
      <c r="CS339" s="1152">
        <v>1</v>
      </c>
      <c r="CT339" s="1152">
        <v>1</v>
      </c>
      <c r="CU339" s="1097"/>
      <c r="CV339" s="1097"/>
      <c r="CW339" s="1099" t="s">
        <v>1671</v>
      </c>
      <c r="CX339" s="1117"/>
      <c r="CY339" s="1117"/>
      <c r="CZ339" s="1117"/>
      <c r="DA339" s="1117"/>
      <c r="DB339" s="1117"/>
      <c r="DH339" s="1117"/>
      <c r="DI339" s="1144" t="s">
        <v>3974</v>
      </c>
      <c r="DJ339" s="1152">
        <v>1</v>
      </c>
      <c r="DK339" s="1152">
        <v>1</v>
      </c>
      <c r="DL339" s="1152">
        <v>1</v>
      </c>
      <c r="DM339" s="1152">
        <v>1</v>
      </c>
      <c r="DN339" s="1097"/>
      <c r="DO339" s="1097"/>
      <c r="DP339" s="1144" t="s">
        <v>3974</v>
      </c>
      <c r="DQ339" s="1152">
        <v>1</v>
      </c>
      <c r="DR339" s="1152">
        <v>1</v>
      </c>
      <c r="DS339" s="1152">
        <v>1</v>
      </c>
      <c r="DT339" s="1152">
        <v>1</v>
      </c>
      <c r="DU339" s="1097"/>
      <c r="DV339" s="1097"/>
      <c r="DW339" s="1099" t="s">
        <v>1671</v>
      </c>
      <c r="DX339" s="1117"/>
      <c r="DY339" s="1117"/>
      <c r="DZ339" s="1117"/>
      <c r="EA339" s="1117"/>
      <c r="EB339" s="1117"/>
    </row>
    <row r="340" spans="2:132" x14ac:dyDescent="0.2">
      <c r="B340" s="60" t="e">
        <f t="shared" si="206"/>
        <v>#DIV/0!</v>
      </c>
      <c r="C340" s="60" t="e">
        <f t="shared" si="208"/>
        <v>#DIV/0!</v>
      </c>
      <c r="D340" s="60" t="e">
        <f t="shared" si="208"/>
        <v>#DIV/0!</v>
      </c>
      <c r="E340" s="60" t="e">
        <f t="shared" si="208"/>
        <v>#DIV/0!</v>
      </c>
      <c r="F340" s="60" t="e">
        <f t="shared" si="208"/>
        <v>#DIV/0!</v>
      </c>
      <c r="I340" s="60" t="e">
        <f t="shared" si="207"/>
        <v>#DIV/0!</v>
      </c>
      <c r="J340" s="60" t="e">
        <f t="shared" si="209"/>
        <v>#DIV/0!</v>
      </c>
      <c r="K340" s="60" t="e">
        <f t="shared" si="210"/>
        <v>#DIV/0!</v>
      </c>
      <c r="L340" s="60" t="e">
        <f t="shared" si="211"/>
        <v>#DIV/0!</v>
      </c>
      <c r="M340" s="60" t="e">
        <f t="shared" si="212"/>
        <v>#DIV/0!</v>
      </c>
      <c r="AA340" s="1117"/>
      <c r="AB340" s="1097"/>
      <c r="AC340" s="1097"/>
      <c r="AD340" s="1097"/>
      <c r="AE340" s="1097"/>
      <c r="AF340" s="1097"/>
      <c r="AG340" s="1097"/>
      <c r="AH340" s="1097"/>
      <c r="AI340" s="1097"/>
      <c r="AJ340" s="1097"/>
      <c r="AK340" s="1097"/>
      <c r="AL340" s="1097"/>
      <c r="AM340" s="1097"/>
      <c r="AN340" s="1097"/>
      <c r="AO340" s="1097"/>
      <c r="AP340" s="1097"/>
      <c r="AQ340" s="1097"/>
      <c r="AR340" s="1097"/>
      <c r="AS340" s="1097"/>
      <c r="AT340" s="1097"/>
      <c r="AU340" s="1097"/>
      <c r="AV340" s="1097"/>
      <c r="AW340" s="1097" t="s">
        <v>1672</v>
      </c>
      <c r="AX340" s="1117"/>
      <c r="AY340" s="1117"/>
      <c r="AZ340" s="1117"/>
      <c r="BA340" s="1117"/>
      <c r="BB340" s="1117"/>
      <c r="BH340" s="1117"/>
      <c r="BI340" s="1144" t="s">
        <v>3976</v>
      </c>
      <c r="BJ340" s="1152">
        <v>1</v>
      </c>
      <c r="BK340" s="1152">
        <v>1</v>
      </c>
      <c r="BL340" s="1152">
        <v>1</v>
      </c>
      <c r="BM340" s="1152">
        <v>1</v>
      </c>
      <c r="BN340" s="1097"/>
      <c r="BO340" s="1097"/>
      <c r="BP340" s="1144" t="s">
        <v>3976</v>
      </c>
      <c r="BQ340" s="1152">
        <v>1</v>
      </c>
      <c r="BR340" s="1152">
        <v>1</v>
      </c>
      <c r="BS340" s="1152">
        <v>1</v>
      </c>
      <c r="BT340" s="1152">
        <v>1</v>
      </c>
      <c r="BU340" s="1097"/>
      <c r="BV340" s="1097"/>
      <c r="BW340" s="1097" t="s">
        <v>1672</v>
      </c>
      <c r="BX340" s="1117"/>
      <c r="BY340" s="1117"/>
      <c r="BZ340" s="1117"/>
      <c r="CA340" s="1117"/>
      <c r="CB340" s="1117"/>
      <c r="CH340" s="1117"/>
      <c r="CI340" s="1144" t="s">
        <v>3976</v>
      </c>
      <c r="CJ340" s="1152">
        <v>1</v>
      </c>
      <c r="CK340" s="1152">
        <v>1</v>
      </c>
      <c r="CL340" s="1152">
        <v>1</v>
      </c>
      <c r="CM340" s="1152">
        <v>1</v>
      </c>
      <c r="CN340" s="1097"/>
      <c r="CO340" s="1097"/>
      <c r="CP340" s="1144" t="s">
        <v>3976</v>
      </c>
      <c r="CQ340" s="1152">
        <v>1</v>
      </c>
      <c r="CR340" s="1152">
        <v>1</v>
      </c>
      <c r="CS340" s="1152">
        <v>1</v>
      </c>
      <c r="CT340" s="1152">
        <v>1</v>
      </c>
      <c r="CU340" s="1097"/>
      <c r="CV340" s="1097"/>
      <c r="CW340" s="1097" t="s">
        <v>1672</v>
      </c>
      <c r="CX340" s="1117"/>
      <c r="CY340" s="1117"/>
      <c r="CZ340" s="1117"/>
      <c r="DA340" s="1117"/>
      <c r="DB340" s="1117"/>
      <c r="DH340" s="1117"/>
      <c r="DI340" s="1144" t="s">
        <v>3976</v>
      </c>
      <c r="DJ340" s="1152">
        <v>1</v>
      </c>
      <c r="DK340" s="1152">
        <v>1</v>
      </c>
      <c r="DL340" s="1152">
        <v>1</v>
      </c>
      <c r="DM340" s="1152">
        <v>1</v>
      </c>
      <c r="DN340" s="1097"/>
      <c r="DO340" s="1097"/>
      <c r="DP340" s="1144" t="s">
        <v>3976</v>
      </c>
      <c r="DQ340" s="1152">
        <v>1</v>
      </c>
      <c r="DR340" s="1152">
        <v>1</v>
      </c>
      <c r="DS340" s="1152">
        <v>1</v>
      </c>
      <c r="DT340" s="1152">
        <v>1</v>
      </c>
      <c r="DU340" s="1097"/>
      <c r="DV340" s="1097"/>
      <c r="DW340" s="1097" t="s">
        <v>1672</v>
      </c>
      <c r="DX340" s="1117"/>
      <c r="DY340" s="1117"/>
      <c r="DZ340" s="1117"/>
      <c r="EA340" s="1117"/>
      <c r="EB340" s="1117"/>
    </row>
    <row r="341" spans="2:132" x14ac:dyDescent="0.2">
      <c r="B341" s="60" t="e">
        <f t="shared" si="206"/>
        <v>#DIV/0!</v>
      </c>
      <c r="C341" s="60" t="e">
        <f t="shared" si="208"/>
        <v>#DIV/0!</v>
      </c>
      <c r="D341" s="60" t="e">
        <f t="shared" si="208"/>
        <v>#DIV/0!</v>
      </c>
      <c r="E341" s="60" t="e">
        <f t="shared" si="208"/>
        <v>#DIV/0!</v>
      </c>
      <c r="F341" s="60" t="e">
        <f t="shared" si="208"/>
        <v>#DIV/0!</v>
      </c>
      <c r="I341" s="60" t="e">
        <f t="shared" si="207"/>
        <v>#DIV/0!</v>
      </c>
      <c r="J341" s="60" t="e">
        <f t="shared" si="209"/>
        <v>#DIV/0!</v>
      </c>
      <c r="K341" s="60" t="e">
        <f t="shared" si="210"/>
        <v>#DIV/0!</v>
      </c>
      <c r="L341" s="60" t="e">
        <f t="shared" si="211"/>
        <v>#DIV/0!</v>
      </c>
      <c r="M341" s="60" t="e">
        <f t="shared" si="212"/>
        <v>#DIV/0!</v>
      </c>
      <c r="AA341" s="1117"/>
      <c r="AB341" s="1097"/>
      <c r="AC341" s="1097"/>
      <c r="AD341" s="1097"/>
      <c r="AE341" s="1097"/>
      <c r="AF341" s="1097"/>
      <c r="AG341" s="1097"/>
      <c r="AH341" s="1097"/>
      <c r="AI341" s="1097"/>
      <c r="AJ341" s="1097"/>
      <c r="AK341" s="1097"/>
      <c r="AL341" s="1097"/>
      <c r="AM341" s="1097"/>
      <c r="AN341" s="1097"/>
      <c r="AO341" s="1097"/>
      <c r="AP341" s="1097"/>
      <c r="AQ341" s="1097"/>
      <c r="AR341" s="1097"/>
      <c r="AS341" s="1153"/>
      <c r="AT341" s="1153"/>
      <c r="AU341" s="1097"/>
      <c r="AV341" s="1097"/>
      <c r="AW341" s="1104" t="s">
        <v>204</v>
      </c>
      <c r="AX341" s="1117"/>
      <c r="AY341" s="1117"/>
      <c r="AZ341" s="1117"/>
      <c r="BA341" s="1117"/>
      <c r="BB341" s="1117"/>
      <c r="BH341" s="1117"/>
      <c r="BI341" s="1144" t="s">
        <v>3977</v>
      </c>
      <c r="BJ341" s="1152">
        <v>1</v>
      </c>
      <c r="BK341" s="1152">
        <v>1</v>
      </c>
      <c r="BL341" s="1152">
        <v>1</v>
      </c>
      <c r="BM341" s="1152">
        <v>1</v>
      </c>
      <c r="BN341" s="1097"/>
      <c r="BO341" s="1097"/>
      <c r="BP341" s="1144" t="s">
        <v>3977</v>
      </c>
      <c r="BQ341" s="1152">
        <v>1</v>
      </c>
      <c r="BR341" s="1152">
        <v>1</v>
      </c>
      <c r="BS341" s="1152">
        <v>1</v>
      </c>
      <c r="BT341" s="1152">
        <v>1</v>
      </c>
      <c r="BU341" s="1097"/>
      <c r="BV341" s="1097"/>
      <c r="BW341" s="1104" t="s">
        <v>204</v>
      </c>
      <c r="BX341" s="1117"/>
      <c r="BY341" s="1117"/>
      <c r="BZ341" s="1117"/>
      <c r="CA341" s="1117"/>
      <c r="CB341" s="1117"/>
      <c r="CH341" s="1117"/>
      <c r="CI341" s="1144" t="s">
        <v>3977</v>
      </c>
      <c r="CJ341" s="1152">
        <v>1</v>
      </c>
      <c r="CK341" s="1152">
        <v>1</v>
      </c>
      <c r="CL341" s="1152">
        <v>1</v>
      </c>
      <c r="CM341" s="1152">
        <v>1</v>
      </c>
      <c r="CN341" s="1097"/>
      <c r="CO341" s="1097"/>
      <c r="CP341" s="1144" t="s">
        <v>3977</v>
      </c>
      <c r="CQ341" s="1152">
        <v>1</v>
      </c>
      <c r="CR341" s="1152">
        <v>1</v>
      </c>
      <c r="CS341" s="1152">
        <v>1</v>
      </c>
      <c r="CT341" s="1152">
        <v>1</v>
      </c>
      <c r="CU341" s="1097"/>
      <c r="CV341" s="1097"/>
      <c r="CW341" s="1104" t="s">
        <v>204</v>
      </c>
      <c r="CX341" s="1117"/>
      <c r="CY341" s="1117"/>
      <c r="CZ341" s="1117"/>
      <c r="DA341" s="1117"/>
      <c r="DB341" s="1117"/>
      <c r="DH341" s="1117"/>
      <c r="DI341" s="1144" t="s">
        <v>3977</v>
      </c>
      <c r="DJ341" s="1152">
        <v>1</v>
      </c>
      <c r="DK341" s="1152">
        <v>1</v>
      </c>
      <c r="DL341" s="1152">
        <v>1</v>
      </c>
      <c r="DM341" s="1152">
        <v>1</v>
      </c>
      <c r="DN341" s="1097"/>
      <c r="DO341" s="1097"/>
      <c r="DP341" s="1144" t="s">
        <v>3977</v>
      </c>
      <c r="DQ341" s="1152">
        <v>1</v>
      </c>
      <c r="DR341" s="1152">
        <v>1</v>
      </c>
      <c r="DS341" s="1152">
        <v>1</v>
      </c>
      <c r="DT341" s="1152">
        <v>1</v>
      </c>
      <c r="DU341" s="1097"/>
      <c r="DV341" s="1097"/>
      <c r="DW341" s="1104" t="s">
        <v>204</v>
      </c>
      <c r="DX341" s="1117"/>
      <c r="DY341" s="1117"/>
      <c r="DZ341" s="1117"/>
      <c r="EA341" s="1117"/>
      <c r="EB341" s="1117"/>
    </row>
    <row r="342" spans="2:132" x14ac:dyDescent="0.2">
      <c r="AA342" s="1117"/>
      <c r="AB342" s="1131" t="s">
        <v>205</v>
      </c>
      <c r="AC342" s="1131"/>
      <c r="AD342" s="1131"/>
      <c r="AE342" s="1131"/>
      <c r="AF342" s="1131"/>
      <c r="AG342" s="1131"/>
      <c r="AH342" s="1131"/>
      <c r="AI342" s="1131"/>
      <c r="AJ342" s="1131"/>
      <c r="AK342" s="1131"/>
      <c r="AL342" s="1131"/>
      <c r="AM342" s="1131"/>
      <c r="AN342" s="1131"/>
      <c r="AO342" s="1097" t="s">
        <v>206</v>
      </c>
      <c r="AP342" s="1097"/>
      <c r="AQ342" s="1117"/>
      <c r="AR342" s="1117"/>
      <c r="AS342" s="1117"/>
      <c r="AT342" s="1117"/>
      <c r="AU342" s="1097"/>
      <c r="AV342" s="1097"/>
      <c r="AW342" s="1097"/>
      <c r="AX342" s="1097"/>
      <c r="AY342" s="1097"/>
      <c r="AZ342" s="1097"/>
      <c r="BA342" s="1097"/>
      <c r="BB342" s="1097"/>
      <c r="BH342" s="1117"/>
      <c r="BI342" s="1097"/>
      <c r="BJ342" s="1097"/>
      <c r="BK342" s="1097"/>
      <c r="BL342" s="1097"/>
      <c r="BM342" s="1097"/>
      <c r="BN342" s="1097"/>
      <c r="BO342" s="1097"/>
      <c r="BP342" s="1097"/>
      <c r="BQ342" s="1097"/>
      <c r="BR342" s="1097"/>
      <c r="BS342" s="1097"/>
      <c r="BT342" s="1097"/>
      <c r="BU342" s="1097"/>
      <c r="BV342" s="1097"/>
      <c r="BW342" s="1097"/>
      <c r="BX342" s="1097"/>
      <c r="BY342" s="1097"/>
      <c r="BZ342" s="1097"/>
      <c r="CA342" s="1097"/>
      <c r="CB342" s="1097"/>
      <c r="CH342" s="1117"/>
      <c r="CI342" s="1097"/>
      <c r="CJ342" s="1097"/>
      <c r="CK342" s="1097"/>
      <c r="CL342" s="1097"/>
      <c r="CM342" s="1097"/>
      <c r="CN342" s="1097"/>
      <c r="CO342" s="1097"/>
      <c r="CP342" s="1097"/>
      <c r="CQ342" s="1097"/>
      <c r="CR342" s="1097"/>
      <c r="CS342" s="1097"/>
      <c r="CT342" s="1097"/>
      <c r="CU342" s="1097"/>
      <c r="CV342" s="1097"/>
      <c r="CW342" s="1097"/>
      <c r="CX342" s="1097"/>
      <c r="CY342" s="1097"/>
      <c r="CZ342" s="1097"/>
      <c r="DA342" s="1097"/>
      <c r="DB342" s="1097"/>
      <c r="DH342" s="1117"/>
      <c r="DI342" s="1097"/>
      <c r="DJ342" s="1097"/>
      <c r="DK342" s="1097"/>
      <c r="DL342" s="1097"/>
      <c r="DM342" s="1097"/>
      <c r="DN342" s="1097"/>
      <c r="DO342" s="1097"/>
      <c r="DP342" s="1097"/>
      <c r="DQ342" s="1097"/>
      <c r="DR342" s="1097"/>
      <c r="DS342" s="1097"/>
      <c r="DT342" s="1097"/>
      <c r="DU342" s="1097"/>
      <c r="DV342" s="1097"/>
      <c r="DW342" s="1097"/>
      <c r="DX342" s="1097"/>
      <c r="DY342" s="1097"/>
      <c r="DZ342" s="1097"/>
      <c r="EA342" s="1097"/>
      <c r="EB342" s="1097"/>
    </row>
    <row r="343" spans="2:132" x14ac:dyDescent="0.2">
      <c r="AA343" s="1117"/>
      <c r="AB343" s="1097"/>
      <c r="AC343" s="1097"/>
      <c r="AD343" s="1097"/>
      <c r="AE343" s="1097"/>
      <c r="AF343" s="1097"/>
      <c r="AG343" s="1097"/>
      <c r="AH343" s="1097"/>
      <c r="AI343" s="1097"/>
      <c r="AJ343" s="1097"/>
      <c r="AK343" s="1097"/>
      <c r="AL343" s="1097"/>
      <c r="AM343" s="1097"/>
      <c r="AN343" s="1097"/>
      <c r="AO343" s="1131" t="s">
        <v>3411</v>
      </c>
      <c r="AP343" s="1131"/>
      <c r="AQ343" s="1131" t="s">
        <v>207</v>
      </c>
      <c r="AR343" s="1131"/>
      <c r="AS343" s="1131" t="s">
        <v>208</v>
      </c>
      <c r="AT343" s="1131"/>
      <c r="AU343" s="1097"/>
      <c r="AV343" s="1097"/>
      <c r="AW343" s="1097"/>
      <c r="AX343" s="1097"/>
      <c r="AY343" s="1097"/>
      <c r="AZ343" s="1097"/>
      <c r="BA343" s="1097"/>
      <c r="BB343" s="1097"/>
      <c r="BH343" s="1117"/>
      <c r="BI343" s="1097"/>
      <c r="BJ343" s="1097"/>
      <c r="BK343" s="1097"/>
      <c r="BL343" s="1097"/>
      <c r="BM343" s="1097"/>
      <c r="BN343" s="1097"/>
      <c r="BO343" s="1097"/>
      <c r="BP343" s="1097"/>
      <c r="BQ343" s="1097"/>
      <c r="BR343" s="1097"/>
      <c r="BS343" s="1097"/>
      <c r="BT343" s="1097"/>
      <c r="BU343" s="1153"/>
      <c r="BV343" s="1097"/>
      <c r="BW343" s="1097"/>
      <c r="BX343" s="1097"/>
      <c r="BY343" s="1097"/>
      <c r="BZ343" s="1097"/>
      <c r="CA343" s="1097"/>
      <c r="CB343" s="1097"/>
      <c r="CH343" s="1117"/>
      <c r="CI343" s="1097"/>
      <c r="CJ343" s="1097"/>
      <c r="CK343" s="1097"/>
      <c r="CL343" s="1097"/>
      <c r="CM343" s="1097"/>
      <c r="CN343" s="1097"/>
      <c r="CO343" s="1097"/>
      <c r="CP343" s="1097"/>
      <c r="CQ343" s="1097"/>
      <c r="CR343" s="1097"/>
      <c r="CS343" s="1097"/>
      <c r="CT343" s="1097"/>
      <c r="CU343" s="1153"/>
      <c r="CV343" s="1097"/>
      <c r="CW343" s="1097"/>
      <c r="CX343" s="1097"/>
      <c r="CY343" s="1097"/>
      <c r="CZ343" s="1097"/>
      <c r="DA343" s="1097"/>
      <c r="DB343" s="1097"/>
      <c r="DH343" s="1117"/>
      <c r="DI343" s="1097"/>
      <c r="DJ343" s="1097"/>
      <c r="DK343" s="1097"/>
      <c r="DL343" s="1097"/>
      <c r="DM343" s="1097"/>
      <c r="DN343" s="1097"/>
      <c r="DO343" s="1097"/>
      <c r="DP343" s="1097"/>
      <c r="DQ343" s="1097"/>
      <c r="DR343" s="1097"/>
      <c r="DS343" s="1097"/>
      <c r="DT343" s="1097"/>
      <c r="DU343" s="1153"/>
      <c r="DV343" s="1097"/>
      <c r="DW343" s="1097"/>
      <c r="DX343" s="1097"/>
      <c r="DY343" s="1097"/>
      <c r="DZ343" s="1097"/>
      <c r="EA343" s="1097"/>
      <c r="EB343" s="1097"/>
    </row>
    <row r="344" spans="2:132" ht="12.75" x14ac:dyDescent="0.25">
      <c r="B344" s="60" t="e">
        <f>IF($A$314=1,AB342,IF($A$314=2,BI344,IF($A$314=3,CI344,IF($A$314=4,DI344))))</f>
        <v>#DIV/0!</v>
      </c>
      <c r="L344" s="60" t="e">
        <f t="shared" ref="L344:L350" si="213">IF($A$314=1,AO342,IF($A$314=2,BS344,IF($A$314=3,CS344,IF($A$314=4,DS344))))</f>
        <v>#DIV/0!</v>
      </c>
      <c r="AA344" s="1117"/>
      <c r="AB344" s="1131" t="s">
        <v>209</v>
      </c>
      <c r="AC344" s="1097"/>
      <c r="AD344" s="1097"/>
      <c r="AE344" s="1097"/>
      <c r="AF344" s="1097"/>
      <c r="AG344" s="1097"/>
      <c r="AH344" s="1097"/>
      <c r="AI344" s="1097"/>
      <c r="AJ344" s="1097"/>
      <c r="AK344" s="1097"/>
      <c r="AL344" s="1097"/>
      <c r="AM344" s="1097"/>
      <c r="AN344" s="1097"/>
      <c r="AO344" s="1154" t="s">
        <v>3970</v>
      </c>
      <c r="AP344" s="1154"/>
      <c r="AQ344" s="1155">
        <v>1</v>
      </c>
      <c r="AR344" s="1155"/>
      <c r="AS344" s="1155">
        <v>0</v>
      </c>
      <c r="AT344" s="1155"/>
      <c r="AU344" s="1117"/>
      <c r="AV344" s="1117"/>
      <c r="AW344" s="1117"/>
      <c r="AX344" s="1117"/>
      <c r="AY344" s="1117"/>
      <c r="AZ344" s="1117"/>
      <c r="BA344" s="1097"/>
      <c r="BB344" s="1097"/>
      <c r="BH344" s="1117"/>
      <c r="BI344" s="1131" t="s">
        <v>205</v>
      </c>
      <c r="BJ344" s="1131"/>
      <c r="BK344" s="1131"/>
      <c r="BL344" s="1131"/>
      <c r="BM344" s="1131"/>
      <c r="BN344" s="1131"/>
      <c r="BO344" s="1131"/>
      <c r="BP344" s="1131"/>
      <c r="BQ344" s="1131"/>
      <c r="BR344" s="1131"/>
      <c r="BS344" s="1097" t="s">
        <v>206</v>
      </c>
      <c r="BT344" s="1117"/>
      <c r="BU344" s="1117"/>
      <c r="BV344" s="1117"/>
      <c r="BW344" s="1117"/>
      <c r="BX344" s="1117"/>
      <c r="BY344" s="1117"/>
      <c r="BZ344" s="1117"/>
      <c r="CA344" s="1097"/>
      <c r="CB344" s="1097"/>
      <c r="CH344" s="1117"/>
      <c r="CI344" s="1131" t="s">
        <v>205</v>
      </c>
      <c r="CJ344" s="1131"/>
      <c r="CK344" s="1131"/>
      <c r="CL344" s="1131"/>
      <c r="CM344" s="1131"/>
      <c r="CN344" s="1131"/>
      <c r="CO344" s="1131"/>
      <c r="CP344" s="1131"/>
      <c r="CQ344" s="1131"/>
      <c r="CR344" s="1131"/>
      <c r="CS344" s="1097" t="s">
        <v>206</v>
      </c>
      <c r="CT344" s="1117"/>
      <c r="CU344" s="1117"/>
      <c r="CV344" s="1117"/>
      <c r="CW344" s="1117"/>
      <c r="CX344" s="1117"/>
      <c r="CY344" s="1117"/>
      <c r="CZ344" s="1117"/>
      <c r="DA344" s="1097"/>
      <c r="DB344" s="1097"/>
      <c r="DH344" s="1117"/>
      <c r="DI344" s="1131" t="s">
        <v>205</v>
      </c>
      <c r="DJ344" s="1131"/>
      <c r="DK344" s="1131"/>
      <c r="DL344" s="1131"/>
      <c r="DM344" s="1131"/>
      <c r="DN344" s="1131"/>
      <c r="DO344" s="1131"/>
      <c r="DP344" s="1131"/>
      <c r="DQ344" s="1131"/>
      <c r="DR344" s="1131"/>
      <c r="DS344" s="1097" t="s">
        <v>206</v>
      </c>
      <c r="DT344" s="1117"/>
      <c r="DU344" s="1117"/>
      <c r="DV344" s="1117"/>
      <c r="DW344" s="1117"/>
      <c r="DX344" s="1117"/>
      <c r="DY344" s="1117"/>
      <c r="DZ344" s="1117"/>
      <c r="EA344" s="1097"/>
      <c r="EB344" s="1097"/>
    </row>
    <row r="345" spans="2:132" ht="12.75" x14ac:dyDescent="0.25">
      <c r="L345" s="60" t="e">
        <f t="shared" si="213"/>
        <v>#DIV/0!</v>
      </c>
      <c r="M345" s="60" t="e">
        <f t="shared" ref="M345:M350" si="214">IF($A$314=1,AQ343,IF($A$314=2,BT345,IF($A$314=3,CT345,IF($A$314=4,DT345))))</f>
        <v>#DIV/0!</v>
      </c>
      <c r="N345" s="60" t="e">
        <f t="shared" ref="N345:N350" si="215">IF($A$314=1,AS343,IF($A$314=2,BU345,IF($A$314=3,CU345,IF($A$314=4,DU345))))</f>
        <v>#DIV/0!</v>
      </c>
      <c r="AA345" s="1117"/>
      <c r="AB345" s="1131" t="s">
        <v>210</v>
      </c>
      <c r="AC345" s="1131"/>
      <c r="AD345" s="1131" t="s">
        <v>211</v>
      </c>
      <c r="AE345" s="1131"/>
      <c r="AF345" s="1131" t="s">
        <v>212</v>
      </c>
      <c r="AG345" s="1131"/>
      <c r="AH345" s="1131" t="s">
        <v>213</v>
      </c>
      <c r="AI345" s="1131"/>
      <c r="AJ345" s="1131"/>
      <c r="AK345" s="1131" t="s">
        <v>214</v>
      </c>
      <c r="AL345" s="1131"/>
      <c r="AM345" s="1131"/>
      <c r="AN345" s="1131"/>
      <c r="AO345" s="1154" t="s">
        <v>3972</v>
      </c>
      <c r="AP345" s="1154"/>
      <c r="AQ345" s="1155">
        <v>1</v>
      </c>
      <c r="AR345" s="1155"/>
      <c r="AS345" s="1155">
        <v>0</v>
      </c>
      <c r="AT345" s="1155"/>
      <c r="AU345" s="1117"/>
      <c r="AV345" s="1117"/>
      <c r="AW345" s="1117"/>
      <c r="AX345" s="1117"/>
      <c r="AY345" s="1117"/>
      <c r="AZ345" s="1117"/>
      <c r="BA345" s="1097"/>
      <c r="BB345" s="1097"/>
      <c r="BH345" s="1117"/>
      <c r="BI345" s="1097"/>
      <c r="BJ345" s="1097"/>
      <c r="BK345" s="1097"/>
      <c r="BL345" s="1097"/>
      <c r="BM345" s="1097"/>
      <c r="BN345" s="1097"/>
      <c r="BO345" s="1097"/>
      <c r="BP345" s="1097"/>
      <c r="BQ345" s="1097"/>
      <c r="BR345" s="1097"/>
      <c r="BS345" s="1131" t="s">
        <v>3411</v>
      </c>
      <c r="BT345" s="1131" t="s">
        <v>207</v>
      </c>
      <c r="BU345" s="1131" t="s">
        <v>208</v>
      </c>
      <c r="BV345" s="1117"/>
      <c r="BW345" s="1117"/>
      <c r="BX345" s="1117"/>
      <c r="BY345" s="1117"/>
      <c r="BZ345" s="1117"/>
      <c r="CA345" s="1097"/>
      <c r="CB345" s="1097"/>
      <c r="CH345" s="1117"/>
      <c r="CI345" s="1097"/>
      <c r="CJ345" s="1097"/>
      <c r="CK345" s="1097"/>
      <c r="CL345" s="1097"/>
      <c r="CM345" s="1097"/>
      <c r="CN345" s="1097"/>
      <c r="CO345" s="1097"/>
      <c r="CP345" s="1097"/>
      <c r="CQ345" s="1097"/>
      <c r="CR345" s="1097"/>
      <c r="CS345" s="1131" t="s">
        <v>3411</v>
      </c>
      <c r="CT345" s="1131" t="s">
        <v>207</v>
      </c>
      <c r="CU345" s="1131" t="s">
        <v>208</v>
      </c>
      <c r="CV345" s="1117"/>
      <c r="CW345" s="1117"/>
      <c r="CX345" s="1117"/>
      <c r="CY345" s="1117"/>
      <c r="CZ345" s="1117"/>
      <c r="DA345" s="1097"/>
      <c r="DB345" s="1097"/>
      <c r="DH345" s="1117"/>
      <c r="DI345" s="1097"/>
      <c r="DJ345" s="1097"/>
      <c r="DK345" s="1097"/>
      <c r="DL345" s="1097"/>
      <c r="DM345" s="1097"/>
      <c r="DN345" s="1097"/>
      <c r="DO345" s="1097"/>
      <c r="DP345" s="1097"/>
      <c r="DQ345" s="1097"/>
      <c r="DR345" s="1097"/>
      <c r="DS345" s="1131" t="s">
        <v>3411</v>
      </c>
      <c r="DT345" s="1131" t="s">
        <v>207</v>
      </c>
      <c r="DU345" s="1131" t="s">
        <v>208</v>
      </c>
      <c r="DV345" s="1117"/>
      <c r="DW345" s="1117"/>
      <c r="DX345" s="1117"/>
      <c r="DY345" s="1117"/>
      <c r="DZ345" s="1117"/>
      <c r="EA345" s="1097"/>
      <c r="EB345" s="1097"/>
    </row>
    <row r="346" spans="2:132" ht="12.75" x14ac:dyDescent="0.25">
      <c r="B346" s="60" t="e">
        <f>IF($A$314=1,AB344,IF($A$314=2,BI346,IF($A$314=3,CI346,IF($A$314=4,DI346))))</f>
        <v>#DIV/0!</v>
      </c>
      <c r="L346" s="60" t="e">
        <f t="shared" si="213"/>
        <v>#DIV/0!</v>
      </c>
      <c r="M346" s="60" t="e">
        <f t="shared" si="214"/>
        <v>#DIV/0!</v>
      </c>
      <c r="N346" s="60" t="e">
        <f t="shared" si="215"/>
        <v>#DIV/0!</v>
      </c>
      <c r="AA346" s="1117"/>
      <c r="AB346" s="1131" t="s">
        <v>30</v>
      </c>
      <c r="AC346" s="1131" t="s">
        <v>851</v>
      </c>
      <c r="AD346" s="1131" t="s">
        <v>30</v>
      </c>
      <c r="AE346" s="1131" t="s">
        <v>851</v>
      </c>
      <c r="AF346" s="1131" t="s">
        <v>30</v>
      </c>
      <c r="AG346" s="1131" t="s">
        <v>851</v>
      </c>
      <c r="AH346" s="1131" t="s">
        <v>30</v>
      </c>
      <c r="AI346" s="1131" t="s">
        <v>851</v>
      </c>
      <c r="AJ346" s="1131"/>
      <c r="AK346" s="1131" t="s">
        <v>30</v>
      </c>
      <c r="AL346" s="1131"/>
      <c r="AM346" s="1131" t="s">
        <v>851</v>
      </c>
      <c r="AN346" s="1131"/>
      <c r="AO346" s="1154" t="s">
        <v>3974</v>
      </c>
      <c r="AP346" s="1154"/>
      <c r="AQ346" s="1155">
        <v>1</v>
      </c>
      <c r="AR346" s="1155"/>
      <c r="AS346" s="1155">
        <v>0</v>
      </c>
      <c r="AT346" s="1155"/>
      <c r="AU346" s="1117"/>
      <c r="AV346" s="1117"/>
      <c r="AW346" s="1117"/>
      <c r="AX346" s="1117"/>
      <c r="AY346" s="1117"/>
      <c r="AZ346" s="1117"/>
      <c r="BA346" s="1097"/>
      <c r="BB346" s="1097"/>
      <c r="BH346" s="1117"/>
      <c r="BI346" s="1131" t="s">
        <v>209</v>
      </c>
      <c r="BJ346" s="1097"/>
      <c r="BK346" s="1097"/>
      <c r="BL346" s="1097"/>
      <c r="BM346" s="1097"/>
      <c r="BN346" s="1097"/>
      <c r="BO346" s="1097"/>
      <c r="BP346" s="1097"/>
      <c r="BQ346" s="1097"/>
      <c r="BR346" s="1097"/>
      <c r="BS346" s="1154" t="s">
        <v>3970</v>
      </c>
      <c r="BT346" s="1155">
        <v>1</v>
      </c>
      <c r="BU346" s="1155">
        <v>0</v>
      </c>
      <c r="BV346" s="1117"/>
      <c r="BW346" s="1117"/>
      <c r="BX346" s="1117"/>
      <c r="BY346" s="1117"/>
      <c r="BZ346" s="1117"/>
      <c r="CA346" s="1097"/>
      <c r="CB346" s="1097"/>
      <c r="CH346" s="1117"/>
      <c r="CI346" s="1131" t="s">
        <v>209</v>
      </c>
      <c r="CJ346" s="1097"/>
      <c r="CK346" s="1097"/>
      <c r="CL346" s="1097"/>
      <c r="CM346" s="1097"/>
      <c r="CN346" s="1097"/>
      <c r="CO346" s="1097"/>
      <c r="CP346" s="1097"/>
      <c r="CQ346" s="1097"/>
      <c r="CR346" s="1097"/>
      <c r="CS346" s="1154" t="s">
        <v>3970</v>
      </c>
      <c r="CT346" s="1155">
        <v>1</v>
      </c>
      <c r="CU346" s="1155">
        <v>0</v>
      </c>
      <c r="CV346" s="1117"/>
      <c r="CW346" s="1117"/>
      <c r="CX346" s="1117"/>
      <c r="CY346" s="1117"/>
      <c r="CZ346" s="1117"/>
      <c r="DA346" s="1097"/>
      <c r="DB346" s="1097"/>
      <c r="DH346" s="1117"/>
      <c r="DI346" s="1131" t="s">
        <v>209</v>
      </c>
      <c r="DJ346" s="1097"/>
      <c r="DK346" s="1097"/>
      <c r="DL346" s="1097"/>
      <c r="DM346" s="1097"/>
      <c r="DN346" s="1097"/>
      <c r="DO346" s="1097"/>
      <c r="DP346" s="1097"/>
      <c r="DQ346" s="1097"/>
      <c r="DR346" s="1097"/>
      <c r="DS346" s="1154" t="s">
        <v>3970</v>
      </c>
      <c r="DT346" s="1155">
        <v>1</v>
      </c>
      <c r="DU346" s="1155">
        <v>0</v>
      </c>
      <c r="DV346" s="1117"/>
      <c r="DW346" s="1117"/>
      <c r="DX346" s="1117"/>
      <c r="DY346" s="1117"/>
      <c r="DZ346" s="1117"/>
      <c r="EA346" s="1097"/>
      <c r="EB346" s="1097"/>
    </row>
    <row r="347" spans="2:132" ht="12.75" x14ac:dyDescent="0.25">
      <c r="B347" s="60">
        <v>3000</v>
      </c>
      <c r="C347" s="60">
        <v>3000</v>
      </c>
      <c r="D347" s="60">
        <v>6000</v>
      </c>
      <c r="E347" s="60">
        <v>6000</v>
      </c>
      <c r="F347" s="60">
        <v>9000</v>
      </c>
      <c r="G347" s="60">
        <v>9000</v>
      </c>
      <c r="H347" s="60">
        <v>12000</v>
      </c>
      <c r="I347" s="60">
        <v>12000</v>
      </c>
      <c r="J347" s="60">
        <v>15000</v>
      </c>
      <c r="K347" s="60">
        <v>15000</v>
      </c>
      <c r="L347" s="60" t="e">
        <f t="shared" si="213"/>
        <v>#DIV/0!</v>
      </c>
      <c r="M347" s="60" t="e">
        <f t="shared" si="214"/>
        <v>#DIV/0!</v>
      </c>
      <c r="N347" s="60" t="e">
        <f t="shared" si="215"/>
        <v>#DIV/0!</v>
      </c>
      <c r="AA347" s="1117"/>
      <c r="AB347" s="1157">
        <v>634</v>
      </c>
      <c r="AC347" s="1157">
        <v>0</v>
      </c>
      <c r="AD347" s="1157">
        <v>1399</v>
      </c>
      <c r="AE347" s="1157">
        <v>0</v>
      </c>
      <c r="AF347" s="1157">
        <v>2143</v>
      </c>
      <c r="AG347" s="1157">
        <v>0</v>
      </c>
      <c r="AH347" s="1157">
        <v>2988</v>
      </c>
      <c r="AI347" s="1157">
        <v>0</v>
      </c>
      <c r="AJ347" s="1157"/>
      <c r="AK347" s="1157">
        <v>4533</v>
      </c>
      <c r="AL347" s="1157"/>
      <c r="AM347" s="1157">
        <v>0</v>
      </c>
      <c r="AN347" s="1157"/>
      <c r="AO347" s="1154" t="s">
        <v>3976</v>
      </c>
      <c r="AP347" s="1154"/>
      <c r="AQ347" s="1155">
        <v>1</v>
      </c>
      <c r="AR347" s="1155"/>
      <c r="AS347" s="1155">
        <v>0</v>
      </c>
      <c r="AT347" s="1155"/>
      <c r="AU347" s="1117"/>
      <c r="AV347" s="1117"/>
      <c r="AW347" s="1117"/>
      <c r="AX347" s="1117"/>
      <c r="AY347" s="1117"/>
      <c r="AZ347" s="1117"/>
      <c r="BA347" s="1097"/>
      <c r="BB347" s="1097"/>
      <c r="BH347" s="1117"/>
      <c r="BI347" s="1131" t="s">
        <v>210</v>
      </c>
      <c r="BJ347" s="1131"/>
      <c r="BK347" s="1131" t="s">
        <v>211</v>
      </c>
      <c r="BL347" s="1131"/>
      <c r="BM347" s="1131" t="s">
        <v>212</v>
      </c>
      <c r="BN347" s="1131"/>
      <c r="BO347" s="1131" t="s">
        <v>213</v>
      </c>
      <c r="BP347" s="1131"/>
      <c r="BQ347" s="1131" t="s">
        <v>214</v>
      </c>
      <c r="BR347" s="1131"/>
      <c r="BS347" s="1154" t="s">
        <v>3972</v>
      </c>
      <c r="BT347" s="1155">
        <v>1</v>
      </c>
      <c r="BU347" s="1155">
        <v>0</v>
      </c>
      <c r="BV347" s="1117"/>
      <c r="BW347" s="1117"/>
      <c r="BX347" s="1117"/>
      <c r="BY347" s="1117"/>
      <c r="BZ347" s="1117"/>
      <c r="CA347" s="1097"/>
      <c r="CB347" s="1097"/>
      <c r="CH347" s="1117"/>
      <c r="CI347" s="1131" t="s">
        <v>210</v>
      </c>
      <c r="CJ347" s="1131"/>
      <c r="CK347" s="1131" t="s">
        <v>211</v>
      </c>
      <c r="CL347" s="1131"/>
      <c r="CM347" s="1131" t="s">
        <v>212</v>
      </c>
      <c r="CN347" s="1131"/>
      <c r="CO347" s="1131" t="s">
        <v>213</v>
      </c>
      <c r="CP347" s="1131"/>
      <c r="CQ347" s="1131" t="s">
        <v>214</v>
      </c>
      <c r="CR347" s="1131"/>
      <c r="CS347" s="1154" t="s">
        <v>3972</v>
      </c>
      <c r="CT347" s="1155">
        <v>1</v>
      </c>
      <c r="CU347" s="1155">
        <v>0</v>
      </c>
      <c r="CV347" s="1117"/>
      <c r="CW347" s="1117"/>
      <c r="CX347" s="1117"/>
      <c r="CY347" s="1117"/>
      <c r="CZ347" s="1117"/>
      <c r="DA347" s="1097"/>
      <c r="DB347" s="1097"/>
      <c r="DH347" s="1117"/>
      <c r="DI347" s="1131" t="s">
        <v>210</v>
      </c>
      <c r="DJ347" s="1131"/>
      <c r="DK347" s="1131" t="s">
        <v>211</v>
      </c>
      <c r="DL347" s="1131"/>
      <c r="DM347" s="1131" t="s">
        <v>212</v>
      </c>
      <c r="DN347" s="1131"/>
      <c r="DO347" s="1131" t="s">
        <v>213</v>
      </c>
      <c r="DP347" s="1131"/>
      <c r="DQ347" s="1131" t="s">
        <v>214</v>
      </c>
      <c r="DR347" s="1131"/>
      <c r="DS347" s="1154" t="s">
        <v>3972</v>
      </c>
      <c r="DT347" s="1155">
        <v>1</v>
      </c>
      <c r="DU347" s="1155">
        <v>0</v>
      </c>
      <c r="DV347" s="1117"/>
      <c r="DW347" s="1117"/>
      <c r="DX347" s="1117"/>
      <c r="DY347" s="1117"/>
      <c r="DZ347" s="1117"/>
      <c r="EA347" s="1097"/>
      <c r="EB347" s="1097"/>
    </row>
    <row r="348" spans="2:132" ht="12.75" x14ac:dyDescent="0.25">
      <c r="B348" s="60" t="s">
        <v>30</v>
      </c>
      <c r="C348" s="60" t="s">
        <v>851</v>
      </c>
      <c r="D348" s="60" t="s">
        <v>30</v>
      </c>
      <c r="E348" s="60" t="s">
        <v>851</v>
      </c>
      <c r="F348" s="60" t="s">
        <v>30</v>
      </c>
      <c r="G348" s="60" t="s">
        <v>851</v>
      </c>
      <c r="H348" s="60" t="s">
        <v>30</v>
      </c>
      <c r="I348" s="60" t="s">
        <v>851</v>
      </c>
      <c r="J348" s="60" t="s">
        <v>30</v>
      </c>
      <c r="K348" s="60" t="s">
        <v>851</v>
      </c>
      <c r="L348" s="60" t="e">
        <f t="shared" si="213"/>
        <v>#DIV/0!</v>
      </c>
      <c r="M348" s="60" t="e">
        <f t="shared" si="214"/>
        <v>#DIV/0!</v>
      </c>
      <c r="N348" s="60" t="e">
        <f t="shared" si="215"/>
        <v>#DIV/0!</v>
      </c>
      <c r="AA348" s="1117"/>
      <c r="AB348" s="1112" t="s">
        <v>215</v>
      </c>
      <c r="AC348" s="1104"/>
      <c r="AD348" s="1104"/>
      <c r="AE348" s="1104"/>
      <c r="AF348" s="1104"/>
      <c r="AG348" s="1104"/>
      <c r="AH348" s="1104"/>
      <c r="AI348" s="1104"/>
      <c r="AJ348" s="1104"/>
      <c r="AK348" s="1104"/>
      <c r="AL348" s="1104"/>
      <c r="AM348" s="1104"/>
      <c r="AN348" s="1104"/>
      <c r="AO348" s="1154" t="s">
        <v>3977</v>
      </c>
      <c r="AP348" s="1154"/>
      <c r="AQ348" s="1155">
        <v>1</v>
      </c>
      <c r="AR348" s="1155"/>
      <c r="AS348" s="1155">
        <v>0</v>
      </c>
      <c r="AT348" s="1155"/>
      <c r="AU348" s="1117"/>
      <c r="AV348" s="1117"/>
      <c r="AW348" s="1117"/>
      <c r="AX348" s="1117"/>
      <c r="AY348" s="1117"/>
      <c r="AZ348" s="1117"/>
      <c r="BA348" s="1097"/>
      <c r="BB348" s="1097"/>
      <c r="BH348" s="1117"/>
      <c r="BI348" s="1131" t="s">
        <v>30</v>
      </c>
      <c r="BJ348" s="1131" t="s">
        <v>851</v>
      </c>
      <c r="BK348" s="1131" t="s">
        <v>30</v>
      </c>
      <c r="BL348" s="1131" t="s">
        <v>851</v>
      </c>
      <c r="BM348" s="1131" t="s">
        <v>30</v>
      </c>
      <c r="BN348" s="1131" t="s">
        <v>851</v>
      </c>
      <c r="BO348" s="1131" t="s">
        <v>30</v>
      </c>
      <c r="BP348" s="1131" t="s">
        <v>851</v>
      </c>
      <c r="BQ348" s="1131" t="s">
        <v>30</v>
      </c>
      <c r="BR348" s="1131" t="s">
        <v>851</v>
      </c>
      <c r="BS348" s="1154" t="s">
        <v>3974</v>
      </c>
      <c r="BT348" s="1155">
        <v>1</v>
      </c>
      <c r="BU348" s="1155">
        <v>0</v>
      </c>
      <c r="BV348" s="1117"/>
      <c r="BW348" s="1117"/>
      <c r="BX348" s="1117"/>
      <c r="BY348" s="1117"/>
      <c r="BZ348" s="1117"/>
      <c r="CA348" s="1097"/>
      <c r="CB348" s="1097"/>
      <c r="CH348" s="1117"/>
      <c r="CI348" s="1131" t="s">
        <v>30</v>
      </c>
      <c r="CJ348" s="1131" t="s">
        <v>851</v>
      </c>
      <c r="CK348" s="1131" t="s">
        <v>30</v>
      </c>
      <c r="CL348" s="1131" t="s">
        <v>851</v>
      </c>
      <c r="CM348" s="1131" t="s">
        <v>30</v>
      </c>
      <c r="CN348" s="1131" t="s">
        <v>851</v>
      </c>
      <c r="CO348" s="1131" t="s">
        <v>30</v>
      </c>
      <c r="CP348" s="1131" t="s">
        <v>851</v>
      </c>
      <c r="CQ348" s="1131" t="s">
        <v>30</v>
      </c>
      <c r="CR348" s="1131" t="s">
        <v>851</v>
      </c>
      <c r="CS348" s="1154" t="s">
        <v>3974</v>
      </c>
      <c r="CT348" s="1155">
        <v>1</v>
      </c>
      <c r="CU348" s="1155">
        <v>0</v>
      </c>
      <c r="CV348" s="1117"/>
      <c r="CW348" s="1117"/>
      <c r="CX348" s="1117"/>
      <c r="CY348" s="1117"/>
      <c r="CZ348" s="1117"/>
      <c r="DA348" s="1097"/>
      <c r="DB348" s="1097"/>
      <c r="DH348" s="1117"/>
      <c r="DI348" s="1131" t="s">
        <v>30</v>
      </c>
      <c r="DJ348" s="1131" t="s">
        <v>851</v>
      </c>
      <c r="DK348" s="1131" t="s">
        <v>30</v>
      </c>
      <c r="DL348" s="1131" t="s">
        <v>851</v>
      </c>
      <c r="DM348" s="1131" t="s">
        <v>30</v>
      </c>
      <c r="DN348" s="1131" t="s">
        <v>851</v>
      </c>
      <c r="DO348" s="1131" t="s">
        <v>30</v>
      </c>
      <c r="DP348" s="1131" t="s">
        <v>851</v>
      </c>
      <c r="DQ348" s="1131" t="s">
        <v>30</v>
      </c>
      <c r="DR348" s="1131" t="s">
        <v>851</v>
      </c>
      <c r="DS348" s="1154" t="s">
        <v>3974</v>
      </c>
      <c r="DT348" s="1155">
        <v>1</v>
      </c>
      <c r="DU348" s="1155">
        <v>0</v>
      </c>
      <c r="DV348" s="1117"/>
      <c r="DW348" s="1117"/>
      <c r="DX348" s="1117"/>
      <c r="DY348" s="1117"/>
      <c r="DZ348" s="1117"/>
      <c r="EA348" s="1097"/>
      <c r="EB348" s="1097"/>
    </row>
    <row r="349" spans="2:132" ht="12.75" x14ac:dyDescent="0.25">
      <c r="B349" s="60" t="e">
        <f t="shared" ref="B349:I349" si="216">IF($A$314=1,AB347,IF($A$314=2,BI349,IF($A$314=3,CI349,IF($A$314=4,DI349))))</f>
        <v>#DIV/0!</v>
      </c>
      <c r="C349" s="60" t="e">
        <f t="shared" si="216"/>
        <v>#DIV/0!</v>
      </c>
      <c r="D349" s="60" t="e">
        <f t="shared" si="216"/>
        <v>#DIV/0!</v>
      </c>
      <c r="E349" s="60" t="e">
        <f t="shared" si="216"/>
        <v>#DIV/0!</v>
      </c>
      <c r="F349" s="60" t="e">
        <f t="shared" si="216"/>
        <v>#DIV/0!</v>
      </c>
      <c r="G349" s="60" t="e">
        <f t="shared" si="216"/>
        <v>#DIV/0!</v>
      </c>
      <c r="H349" s="60" t="e">
        <f t="shared" si="216"/>
        <v>#DIV/0!</v>
      </c>
      <c r="I349" s="60" t="e">
        <f t="shared" si="216"/>
        <v>#DIV/0!</v>
      </c>
      <c r="J349" s="60" t="e">
        <f>IF($A$314=1,AK347,IF($A$314=2,BQ349,IF($A$314=3,CQ349,IF($A$314=4,DQ349))))</f>
        <v>#DIV/0!</v>
      </c>
      <c r="K349" s="60" t="e">
        <f>IF($A$314=1,AM347,IF($A$314=2,BR349,IF($A$314=3,CR349,IF($A$314=4,DR349))))</f>
        <v>#DIV/0!</v>
      </c>
      <c r="L349" s="60" t="e">
        <f t="shared" si="213"/>
        <v>#DIV/0!</v>
      </c>
      <c r="M349" s="60" t="e">
        <f t="shared" si="214"/>
        <v>#DIV/0!</v>
      </c>
      <c r="N349" s="60" t="e">
        <f t="shared" si="215"/>
        <v>#DIV/0!</v>
      </c>
      <c r="AA349" s="1117"/>
      <c r="AU349" s="1117"/>
      <c r="AV349" s="1117"/>
      <c r="AW349" s="1117"/>
      <c r="AX349" s="1117"/>
      <c r="AY349" s="1117"/>
      <c r="AZ349" s="1117"/>
      <c r="BA349" s="1097"/>
      <c r="BB349" s="1097"/>
      <c r="BH349" s="1117"/>
      <c r="BI349" s="1157">
        <v>764</v>
      </c>
      <c r="BJ349" s="1157">
        <v>0</v>
      </c>
      <c r="BK349" s="1157">
        <v>1866</v>
      </c>
      <c r="BL349" s="1157">
        <v>0</v>
      </c>
      <c r="BM349" s="1157">
        <v>3212</v>
      </c>
      <c r="BN349" s="1157">
        <v>0</v>
      </c>
      <c r="BO349" s="1157">
        <v>4479</v>
      </c>
      <c r="BP349" s="1157">
        <v>0</v>
      </c>
      <c r="BQ349" s="1157">
        <v>5832</v>
      </c>
      <c r="BR349" s="1157">
        <v>0</v>
      </c>
      <c r="BS349" s="1154" t="s">
        <v>3976</v>
      </c>
      <c r="BT349" s="1155">
        <v>1</v>
      </c>
      <c r="BU349" s="1155">
        <v>0</v>
      </c>
      <c r="BV349" s="1117"/>
      <c r="BW349" s="1117"/>
      <c r="BX349" s="1117"/>
      <c r="BY349" s="1117"/>
      <c r="BZ349" s="1117"/>
      <c r="CA349" s="1097"/>
      <c r="CB349" s="1097"/>
      <c r="CH349" s="1117"/>
      <c r="CI349" s="1157">
        <v>1017</v>
      </c>
      <c r="CJ349" s="1157">
        <v>0</v>
      </c>
      <c r="CK349" s="1157">
        <v>2333</v>
      </c>
      <c r="CL349" s="1157">
        <v>0</v>
      </c>
      <c r="CM349" s="1157">
        <v>3574</v>
      </c>
      <c r="CN349" s="1157">
        <v>0</v>
      </c>
      <c r="CO349" s="1157">
        <v>5475</v>
      </c>
      <c r="CP349" s="1157">
        <v>0</v>
      </c>
      <c r="CQ349" s="1157">
        <v>7128</v>
      </c>
      <c r="CR349" s="1157">
        <v>0</v>
      </c>
      <c r="CS349" s="1154" t="s">
        <v>3976</v>
      </c>
      <c r="CT349" s="1155">
        <v>1</v>
      </c>
      <c r="CU349" s="1155">
        <v>0</v>
      </c>
      <c r="CV349" s="1117"/>
      <c r="CW349" s="1117"/>
      <c r="CX349" s="1117"/>
      <c r="CY349" s="1117"/>
      <c r="CZ349" s="1117"/>
      <c r="DA349" s="1097"/>
      <c r="DB349" s="1097"/>
      <c r="DH349" s="1117"/>
      <c r="DI349" s="1157">
        <v>1144</v>
      </c>
      <c r="DJ349" s="1157">
        <v>0</v>
      </c>
      <c r="DK349" s="1157">
        <v>2568</v>
      </c>
      <c r="DL349" s="1157">
        <v>0</v>
      </c>
      <c r="DM349" s="1157">
        <v>4287</v>
      </c>
      <c r="DN349" s="1157">
        <v>0</v>
      </c>
      <c r="DO349" s="1157">
        <v>6469</v>
      </c>
      <c r="DP349" s="1157">
        <v>0</v>
      </c>
      <c r="DQ349" s="1157">
        <v>8423</v>
      </c>
      <c r="DR349" s="1157">
        <v>0</v>
      </c>
      <c r="DS349" s="1154" t="s">
        <v>3976</v>
      </c>
      <c r="DT349" s="1155">
        <v>1</v>
      </c>
      <c r="DU349" s="1155">
        <v>0</v>
      </c>
      <c r="DV349" s="1117"/>
      <c r="DW349" s="1117"/>
      <c r="DX349" s="1117"/>
      <c r="DY349" s="1117"/>
      <c r="DZ349" s="1117"/>
      <c r="EA349" s="1097"/>
      <c r="EB349" s="1097"/>
    </row>
    <row r="350" spans="2:132" ht="12.75" x14ac:dyDescent="0.25">
      <c r="L350" s="60" t="e">
        <f t="shared" si="213"/>
        <v>#DIV/0!</v>
      </c>
      <c r="M350" s="60" t="e">
        <f t="shared" si="214"/>
        <v>#DIV/0!</v>
      </c>
      <c r="N350" s="60" t="e">
        <f t="shared" si="215"/>
        <v>#DIV/0!</v>
      </c>
      <c r="AA350" s="1117"/>
      <c r="AU350" s="1117"/>
      <c r="AV350" s="1117"/>
      <c r="AW350" s="1117"/>
      <c r="AX350" s="1117"/>
      <c r="AY350" s="1117"/>
      <c r="AZ350" s="1117"/>
      <c r="BA350" s="1097"/>
      <c r="BB350" s="1097"/>
      <c r="BH350" s="1117"/>
      <c r="BI350" s="1112" t="s">
        <v>215</v>
      </c>
      <c r="BJ350" s="1104"/>
      <c r="BK350" s="1104"/>
      <c r="BL350" s="1104"/>
      <c r="BM350" s="1104"/>
      <c r="BN350" s="1104"/>
      <c r="BO350" s="1104"/>
      <c r="BP350" s="1104"/>
      <c r="BQ350" s="1104"/>
      <c r="BR350" s="1104"/>
      <c r="BS350" s="1154" t="s">
        <v>3977</v>
      </c>
      <c r="BT350" s="1155">
        <v>1</v>
      </c>
      <c r="BU350" s="1155">
        <v>0</v>
      </c>
      <c r="BV350" s="1117"/>
      <c r="BW350" s="1117"/>
      <c r="BX350" s="1117"/>
      <c r="BY350" s="1117"/>
      <c r="BZ350" s="1117"/>
      <c r="CA350" s="1097"/>
      <c r="CB350" s="1097"/>
      <c r="CH350" s="1117"/>
      <c r="CI350" s="1112" t="s">
        <v>215</v>
      </c>
      <c r="CJ350" s="1104"/>
      <c r="CK350" s="1104"/>
      <c r="CL350" s="1104"/>
      <c r="CM350" s="1104"/>
      <c r="CN350" s="1104"/>
      <c r="CO350" s="1104"/>
      <c r="CP350" s="1104"/>
      <c r="CQ350" s="1104"/>
      <c r="CR350" s="1104"/>
      <c r="CS350" s="1154" t="s">
        <v>3977</v>
      </c>
      <c r="CT350" s="1155">
        <v>1</v>
      </c>
      <c r="CU350" s="1155">
        <v>0</v>
      </c>
      <c r="CV350" s="1117"/>
      <c r="CW350" s="1117"/>
      <c r="CX350" s="1117"/>
      <c r="CY350" s="1117"/>
      <c r="CZ350" s="1117"/>
      <c r="DA350" s="1097"/>
      <c r="DB350" s="1097"/>
      <c r="DH350" s="1117"/>
      <c r="DI350" s="1112" t="s">
        <v>215</v>
      </c>
      <c r="DJ350" s="1104"/>
      <c r="DK350" s="1104"/>
      <c r="DL350" s="1104"/>
      <c r="DM350" s="1104"/>
      <c r="DN350" s="1104"/>
      <c r="DO350" s="1104"/>
      <c r="DP350" s="1104"/>
      <c r="DQ350" s="1104"/>
      <c r="DR350" s="1104"/>
      <c r="DS350" s="1154" t="s">
        <v>3977</v>
      </c>
      <c r="DT350" s="1155">
        <v>1</v>
      </c>
      <c r="DU350" s="1155">
        <v>0</v>
      </c>
      <c r="DV350" s="1117"/>
      <c r="DW350" s="1117"/>
      <c r="DX350" s="1117"/>
      <c r="DY350" s="1117"/>
      <c r="DZ350" s="1117"/>
      <c r="EA350" s="1097"/>
      <c r="EB350" s="1097"/>
    </row>
  </sheetData>
  <phoneticPr fontId="2" type="noConversion"/>
  <pageMargins left="0.75" right="0.75" top="1" bottom="1" header="0.5" footer="0.5"/>
  <pageSetup orientation="portrait" horizontalDpi="4294967293" r:id="rId1"/>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B1:AV66"/>
  <sheetViews>
    <sheetView topLeftCell="A22" workbookViewId="0">
      <selection activeCell="G47" sqref="G47"/>
    </sheetView>
  </sheetViews>
  <sheetFormatPr defaultColWidth="8.7109375" defaultRowHeight="12" customHeight="1" x14ac:dyDescent="0.2"/>
  <cols>
    <col min="1" max="1" width="3.7109375" style="174" customWidth="1"/>
    <col min="2" max="11" width="8.7109375" style="174" customWidth="1"/>
    <col min="12" max="12" width="8.7109375" style="185" customWidth="1"/>
    <col min="13" max="13" width="3.7109375" style="174" customWidth="1"/>
    <col min="14" max="24" width="8.7109375" style="174" customWidth="1"/>
    <col min="25" max="25" width="3.7109375" style="174" customWidth="1"/>
    <col min="26" max="36" width="8.7109375" style="174" customWidth="1"/>
    <col min="37" max="37" width="3.7109375" style="174" customWidth="1"/>
    <col min="38" max="16384" width="8.7109375" style="174"/>
  </cols>
  <sheetData>
    <row r="1" spans="2:48" ht="12" customHeight="1" x14ac:dyDescent="0.2">
      <c r="T1" s="567" t="s">
        <v>1294</v>
      </c>
      <c r="AG1" s="567" t="s">
        <v>1295</v>
      </c>
    </row>
    <row r="2" spans="2:48" ht="12" customHeight="1" x14ac:dyDescent="0.2">
      <c r="B2" s="741" t="s">
        <v>2115</v>
      </c>
      <c r="C2" s="218"/>
      <c r="D2" s="218"/>
      <c r="E2" s="1960" t="s">
        <v>2920</v>
      </c>
      <c r="F2" s="1616"/>
      <c r="G2" s="1616"/>
      <c r="H2" s="1616"/>
      <c r="I2" s="1616"/>
      <c r="J2" s="480"/>
      <c r="K2" s="480"/>
      <c r="L2" s="283"/>
      <c r="M2" s="201"/>
      <c r="N2" s="741" t="s">
        <v>2115</v>
      </c>
      <c r="O2" s="218"/>
      <c r="P2" s="218"/>
      <c r="Q2" s="1960" t="s">
        <v>2920</v>
      </c>
      <c r="R2" s="1616"/>
      <c r="S2" s="1616"/>
      <c r="T2" s="1616"/>
      <c r="U2" s="1616"/>
      <c r="V2" s="480"/>
      <c r="W2" s="480"/>
      <c r="X2" s="283"/>
      <c r="Z2" s="741" t="s">
        <v>2115</v>
      </c>
      <c r="AA2" s="218"/>
      <c r="AB2" s="218"/>
      <c r="AC2" s="1960" t="s">
        <v>2920</v>
      </c>
      <c r="AD2" s="1616"/>
      <c r="AE2" s="1616"/>
      <c r="AF2" s="1616"/>
      <c r="AG2" s="1616"/>
      <c r="AH2" s="480"/>
      <c r="AI2" s="480"/>
      <c r="AJ2" s="283"/>
      <c r="AL2" s="741" t="s">
        <v>2115</v>
      </c>
      <c r="AM2" s="218"/>
      <c r="AN2" s="218"/>
      <c r="AO2" s="1960" t="s">
        <v>2920</v>
      </c>
      <c r="AP2" s="1616"/>
      <c r="AQ2" s="1616"/>
      <c r="AR2" s="1616"/>
      <c r="AS2" s="1616"/>
      <c r="AT2" s="480"/>
      <c r="AU2" s="480"/>
      <c r="AV2" s="283"/>
    </row>
    <row r="3" spans="2:48" ht="12" customHeight="1" x14ac:dyDescent="0.2">
      <c r="B3" s="742">
        <v>1</v>
      </c>
      <c r="C3" s="568"/>
      <c r="D3" s="568"/>
      <c r="E3" s="1959" t="s">
        <v>1296</v>
      </c>
      <c r="F3" s="1673"/>
      <c r="G3" s="1673"/>
      <c r="H3" s="1673"/>
      <c r="I3" s="1673"/>
      <c r="J3" s="568"/>
      <c r="K3" s="568"/>
      <c r="L3" s="569"/>
      <c r="N3" s="742">
        <v>2</v>
      </c>
      <c r="O3" s="568"/>
      <c r="P3" s="568"/>
      <c r="Q3" s="1959" t="s">
        <v>1296</v>
      </c>
      <c r="R3" s="1673"/>
      <c r="S3" s="1673"/>
      <c r="T3" s="1673"/>
      <c r="U3" s="1673"/>
      <c r="V3" s="568"/>
      <c r="W3" s="568"/>
      <c r="X3" s="569"/>
      <c r="Z3" s="742">
        <v>3</v>
      </c>
      <c r="AA3" s="568"/>
      <c r="AB3" s="568"/>
      <c r="AC3" s="1959" t="s">
        <v>1296</v>
      </c>
      <c r="AD3" s="1673"/>
      <c r="AE3" s="1673"/>
      <c r="AF3" s="1673"/>
      <c r="AG3" s="1673"/>
      <c r="AH3" s="568"/>
      <c r="AI3" s="568"/>
      <c r="AJ3" s="569"/>
      <c r="AL3" s="742">
        <v>4</v>
      </c>
      <c r="AM3" s="568"/>
      <c r="AN3" s="568"/>
      <c r="AO3" s="1959" t="s">
        <v>1296</v>
      </c>
      <c r="AP3" s="1673"/>
      <c r="AQ3" s="1673"/>
      <c r="AR3" s="1673"/>
      <c r="AS3" s="1673"/>
      <c r="AT3" s="568"/>
      <c r="AU3" s="568"/>
      <c r="AV3" s="569"/>
    </row>
    <row r="4" spans="2:48" ht="12" customHeight="1" x14ac:dyDescent="0.2">
      <c r="B4" s="220"/>
      <c r="C4" s="221"/>
      <c r="D4" s="221"/>
      <c r="E4" s="454" t="s">
        <v>476</v>
      </c>
      <c r="F4" s="687" t="e">
        <f>Block</f>
        <v>#NAME?</v>
      </c>
      <c r="G4" s="925" t="s">
        <v>2111</v>
      </c>
      <c r="H4" s="926" t="str">
        <f>'Wrk A'!C15</f>
        <v>Jul &amp; Aug</v>
      </c>
      <c r="I4" s="925" t="s">
        <v>2112</v>
      </c>
      <c r="J4" s="953">
        <f>'Wrk A'!K16</f>
        <v>0.5</v>
      </c>
      <c r="K4" s="221"/>
      <c r="L4" s="178"/>
      <c r="N4" s="220"/>
      <c r="O4" s="221"/>
      <c r="P4" s="221"/>
      <c r="Q4" s="454" t="s">
        <v>476</v>
      </c>
      <c r="R4" s="687" t="e">
        <f>$F4</f>
        <v>#NAME?</v>
      </c>
      <c r="S4" s="456" t="s">
        <v>2111</v>
      </c>
      <c r="T4" s="688" t="str">
        <f>$H4</f>
        <v>Jul &amp; Aug</v>
      </c>
      <c r="U4" s="456" t="s">
        <v>2112</v>
      </c>
      <c r="V4" s="689">
        <f>$J4</f>
        <v>0.5</v>
      </c>
      <c r="W4" s="221"/>
      <c r="X4" s="178"/>
      <c r="Z4" s="220"/>
      <c r="AA4" s="221"/>
      <c r="AB4" s="221"/>
      <c r="AC4" s="454" t="s">
        <v>476</v>
      </c>
      <c r="AD4" s="687" t="e">
        <f>$F4</f>
        <v>#NAME?</v>
      </c>
      <c r="AE4" s="456" t="s">
        <v>2111</v>
      </c>
      <c r="AF4" s="688" t="str">
        <f>$H4</f>
        <v>Jul &amp; Aug</v>
      </c>
      <c r="AG4" s="456" t="s">
        <v>2112</v>
      </c>
      <c r="AH4" s="689">
        <f>$J4</f>
        <v>0.5</v>
      </c>
      <c r="AI4" s="221"/>
      <c r="AJ4" s="178"/>
      <c r="AL4" s="220"/>
      <c r="AM4" s="221"/>
      <c r="AN4" s="221"/>
      <c r="AO4" s="454" t="s">
        <v>476</v>
      </c>
      <c r="AP4" s="687" t="e">
        <f>$F4</f>
        <v>#NAME?</v>
      </c>
      <c r="AQ4" s="456" t="s">
        <v>2111</v>
      </c>
      <c r="AR4" s="688" t="str">
        <f>$H4</f>
        <v>Jul &amp; Aug</v>
      </c>
      <c r="AS4" s="456" t="s">
        <v>2112</v>
      </c>
      <c r="AT4" s="689">
        <f>$J4</f>
        <v>0.5</v>
      </c>
      <c r="AU4" s="221"/>
      <c r="AV4" s="178"/>
    </row>
    <row r="5" spans="2:48" ht="12" customHeight="1" x14ac:dyDescent="0.2">
      <c r="B5" s="216" t="s">
        <v>2113</v>
      </c>
      <c r="C5" s="218"/>
      <c r="D5" s="1948"/>
      <c r="E5" s="1605"/>
      <c r="F5" s="1605"/>
      <c r="G5" s="1961"/>
      <c r="H5" s="218"/>
      <c r="I5" s="218"/>
      <c r="J5" s="218"/>
      <c r="K5" s="455" t="s">
        <v>983</v>
      </c>
      <c r="L5" s="485" t="s">
        <v>834</v>
      </c>
      <c r="N5" s="216" t="s">
        <v>2113</v>
      </c>
      <c r="O5" s="218"/>
      <c r="P5" s="1948"/>
      <c r="Q5" s="1605"/>
      <c r="R5" s="1605"/>
      <c r="S5" s="1961"/>
      <c r="T5" s="218"/>
      <c r="U5" s="218"/>
      <c r="V5" s="218"/>
      <c r="W5" s="455" t="s">
        <v>983</v>
      </c>
      <c r="X5" s="485"/>
      <c r="Z5" s="216" t="s">
        <v>2113</v>
      </c>
      <c r="AA5" s="218"/>
      <c r="AB5" s="1948"/>
      <c r="AC5" s="1605"/>
      <c r="AD5" s="1605"/>
      <c r="AE5" s="1961"/>
      <c r="AF5" s="218"/>
      <c r="AG5" s="218"/>
      <c r="AH5" s="218"/>
      <c r="AI5" s="455" t="s">
        <v>983</v>
      </c>
      <c r="AJ5" s="485"/>
      <c r="AL5" s="216" t="s">
        <v>2113</v>
      </c>
      <c r="AM5" s="218"/>
      <c r="AN5" s="1948"/>
      <c r="AO5" s="1605"/>
      <c r="AP5" s="1605"/>
      <c r="AQ5" s="1961"/>
      <c r="AR5" s="218"/>
      <c r="AS5" s="218"/>
      <c r="AT5" s="218"/>
      <c r="AU5" s="455" t="s">
        <v>983</v>
      </c>
      <c r="AV5" s="485"/>
    </row>
    <row r="6" spans="2:48" ht="12" customHeight="1" x14ac:dyDescent="0.2">
      <c r="B6" s="179" t="s">
        <v>1461</v>
      </c>
      <c r="C6" s="180"/>
      <c r="D6" s="180"/>
      <c r="E6" s="180"/>
      <c r="F6" s="467">
        <v>100</v>
      </c>
      <c r="G6" s="121">
        <v>100</v>
      </c>
      <c r="H6" s="180"/>
      <c r="I6" s="180"/>
      <c r="J6" s="180"/>
      <c r="K6" s="282" t="s">
        <v>3904</v>
      </c>
      <c r="L6" s="260">
        <f>'Form N1'!E7</f>
        <v>0</v>
      </c>
      <c r="N6" s="179" t="s">
        <v>1461</v>
      </c>
      <c r="O6" s="180"/>
      <c r="P6" s="180"/>
      <c r="Q6" s="180"/>
      <c r="R6" s="467" t="s">
        <v>3410</v>
      </c>
      <c r="S6" s="694"/>
      <c r="T6" s="180"/>
      <c r="U6" s="180"/>
      <c r="V6" s="180"/>
      <c r="W6" s="282" t="s">
        <v>3904</v>
      </c>
      <c r="X6" s="492"/>
      <c r="Z6" s="179" t="s">
        <v>1461</v>
      </c>
      <c r="AA6" s="180"/>
      <c r="AB6" s="180"/>
      <c r="AC6" s="180"/>
      <c r="AD6" s="467" t="s">
        <v>3410</v>
      </c>
      <c r="AE6" s="694"/>
      <c r="AF6" s="180"/>
      <c r="AG6" s="180"/>
      <c r="AH6" s="180"/>
      <c r="AI6" s="282" t="s">
        <v>3904</v>
      </c>
      <c r="AJ6" s="492"/>
      <c r="AL6" s="179" t="s">
        <v>1461</v>
      </c>
      <c r="AM6" s="180"/>
      <c r="AN6" s="180"/>
      <c r="AO6" s="180"/>
      <c r="AP6" s="467" t="s">
        <v>3410</v>
      </c>
      <c r="AQ6" s="694"/>
      <c r="AR6" s="180"/>
      <c r="AS6" s="180"/>
      <c r="AT6" s="180"/>
      <c r="AU6" s="282" t="s">
        <v>3904</v>
      </c>
      <c r="AV6" s="492"/>
    </row>
    <row r="7" spans="2:48" ht="12" customHeight="1" x14ac:dyDescent="0.2">
      <c r="B7" s="220" t="s">
        <v>2607</v>
      </c>
      <c r="C7" s="221"/>
      <c r="D7" s="221"/>
      <c r="E7" s="1948"/>
      <c r="F7" s="1949"/>
      <c r="G7" s="1950"/>
      <c r="H7" s="221"/>
      <c r="I7" s="221"/>
      <c r="J7" s="221"/>
      <c r="K7" s="457" t="s">
        <v>1955</v>
      </c>
      <c r="L7" s="492"/>
      <c r="N7" s="220" t="s">
        <v>2607</v>
      </c>
      <c r="O7" s="221"/>
      <c r="P7" s="221"/>
      <c r="Q7" s="1948"/>
      <c r="R7" s="1949"/>
      <c r="S7" s="1950"/>
      <c r="T7" s="221"/>
      <c r="U7" s="221"/>
      <c r="V7" s="221"/>
      <c r="W7" s="457" t="s">
        <v>1955</v>
      </c>
      <c r="X7" s="492"/>
      <c r="Z7" s="220" t="s">
        <v>2607</v>
      </c>
      <c r="AA7" s="221"/>
      <c r="AB7" s="221"/>
      <c r="AC7" s="1948"/>
      <c r="AD7" s="1949"/>
      <c r="AE7" s="1950"/>
      <c r="AF7" s="221"/>
      <c r="AG7" s="221"/>
      <c r="AH7" s="221"/>
      <c r="AI7" s="457" t="s">
        <v>1955</v>
      </c>
      <c r="AJ7" s="492"/>
      <c r="AL7" s="220" t="s">
        <v>2607</v>
      </c>
      <c r="AM7" s="221"/>
      <c r="AN7" s="221"/>
      <c r="AO7" s="1948"/>
      <c r="AP7" s="1949"/>
      <c r="AQ7" s="1950"/>
      <c r="AR7" s="221"/>
      <c r="AS7" s="221"/>
      <c r="AT7" s="221"/>
      <c r="AU7" s="457" t="s">
        <v>1955</v>
      </c>
      <c r="AV7" s="492"/>
    </row>
    <row r="8" spans="2:48" ht="8.1" customHeight="1" x14ac:dyDescent="0.2">
      <c r="B8" s="274"/>
      <c r="C8" s="275"/>
      <c r="D8" s="275"/>
      <c r="E8" s="458"/>
      <c r="F8" s="458"/>
      <c r="G8" s="458"/>
      <c r="H8" s="275"/>
      <c r="I8" s="275"/>
      <c r="J8" s="275"/>
      <c r="K8" s="459"/>
      <c r="L8" s="474"/>
      <c r="N8" s="274"/>
      <c r="O8" s="275"/>
      <c r="P8" s="275"/>
      <c r="Q8" s="458"/>
      <c r="R8" s="458"/>
      <c r="S8" s="458"/>
      <c r="T8" s="275"/>
      <c r="U8" s="275"/>
      <c r="V8" s="275"/>
      <c r="W8" s="459"/>
      <c r="X8" s="474"/>
      <c r="Z8" s="274"/>
      <c r="AA8" s="275"/>
      <c r="AB8" s="275"/>
      <c r="AC8" s="458"/>
      <c r="AD8" s="458"/>
      <c r="AE8" s="458"/>
      <c r="AF8" s="275"/>
      <c r="AG8" s="275"/>
      <c r="AH8" s="275"/>
      <c r="AI8" s="459"/>
      <c r="AJ8" s="474"/>
      <c r="AL8" s="274"/>
      <c r="AM8" s="275"/>
      <c r="AN8" s="275"/>
      <c r="AO8" s="458"/>
      <c r="AP8" s="458"/>
      <c r="AQ8" s="458"/>
      <c r="AR8" s="275"/>
      <c r="AS8" s="275"/>
      <c r="AT8" s="275"/>
      <c r="AU8" s="459"/>
      <c r="AV8" s="474"/>
    </row>
    <row r="9" spans="2:48" ht="12" customHeight="1" x14ac:dyDescent="0.2">
      <c r="B9" s="201" t="s">
        <v>2928</v>
      </c>
      <c r="C9" s="201" t="s">
        <v>1956</v>
      </c>
      <c r="D9" s="201" t="s">
        <v>952</v>
      </c>
      <c r="E9" s="426" t="s">
        <v>466</v>
      </c>
      <c r="F9" s="201" t="s">
        <v>3945</v>
      </c>
      <c r="G9" s="201" t="s">
        <v>2887</v>
      </c>
      <c r="H9" s="201" t="s">
        <v>954</v>
      </c>
      <c r="I9" s="201" t="s">
        <v>2887</v>
      </c>
      <c r="J9" s="201" t="s">
        <v>2888</v>
      </c>
      <c r="K9" s="201" t="s">
        <v>954</v>
      </c>
      <c r="L9" s="201" t="s">
        <v>955</v>
      </c>
      <c r="N9" s="201" t="s">
        <v>2928</v>
      </c>
      <c r="O9" s="201" t="s">
        <v>1956</v>
      </c>
      <c r="P9" s="201" t="s">
        <v>952</v>
      </c>
      <c r="Q9" s="426" t="s">
        <v>466</v>
      </c>
      <c r="R9" s="201" t="s">
        <v>3945</v>
      </c>
      <c r="S9" s="201" t="s">
        <v>953</v>
      </c>
      <c r="T9" s="201" t="s">
        <v>954</v>
      </c>
      <c r="U9" s="201" t="s">
        <v>2887</v>
      </c>
      <c r="V9" s="201" t="s">
        <v>2888</v>
      </c>
      <c r="W9" s="201" t="s">
        <v>954</v>
      </c>
      <c r="X9" s="201" t="s">
        <v>955</v>
      </c>
      <c r="Z9" s="201" t="s">
        <v>2928</v>
      </c>
      <c r="AA9" s="201" t="s">
        <v>1956</v>
      </c>
      <c r="AB9" s="201" t="s">
        <v>952</v>
      </c>
      <c r="AC9" s="426" t="s">
        <v>466</v>
      </c>
      <c r="AD9" s="201" t="s">
        <v>3945</v>
      </c>
      <c r="AE9" s="201" t="s">
        <v>953</v>
      </c>
      <c r="AF9" s="201" t="s">
        <v>2887</v>
      </c>
      <c r="AG9" s="201" t="s">
        <v>2888</v>
      </c>
      <c r="AH9" s="201" t="s">
        <v>953</v>
      </c>
      <c r="AI9" s="201" t="s">
        <v>954</v>
      </c>
      <c r="AJ9" s="201" t="s">
        <v>955</v>
      </c>
      <c r="AL9" s="201" t="s">
        <v>2928</v>
      </c>
      <c r="AM9" s="201" t="s">
        <v>1956</v>
      </c>
      <c r="AN9" s="201" t="s">
        <v>952</v>
      </c>
      <c r="AO9" s="426" t="s">
        <v>466</v>
      </c>
      <c r="AP9" s="201" t="s">
        <v>3945</v>
      </c>
      <c r="AQ9" s="201" t="s">
        <v>953</v>
      </c>
      <c r="AR9" s="201" t="s">
        <v>954</v>
      </c>
      <c r="AS9" s="201" t="s">
        <v>2887</v>
      </c>
      <c r="AT9" s="201" t="s">
        <v>2888</v>
      </c>
      <c r="AU9" s="201" t="s">
        <v>954</v>
      </c>
      <c r="AV9" s="201" t="s">
        <v>955</v>
      </c>
    </row>
    <row r="10" spans="2:48" ht="12" customHeight="1" x14ac:dyDescent="0.2">
      <c r="B10" s="186" t="s">
        <v>956</v>
      </c>
      <c r="C10" s="186" t="s">
        <v>3927</v>
      </c>
      <c r="D10" s="186" t="s">
        <v>3928</v>
      </c>
      <c r="E10" s="187"/>
      <c r="F10" s="186" t="s">
        <v>2255</v>
      </c>
      <c r="G10" s="186" t="s">
        <v>3929</v>
      </c>
      <c r="H10" s="186" t="s">
        <v>3929</v>
      </c>
      <c r="I10" s="186" t="s">
        <v>3930</v>
      </c>
      <c r="J10" s="186" t="s">
        <v>49</v>
      </c>
      <c r="K10" s="186" t="s">
        <v>3930</v>
      </c>
      <c r="L10" s="186" t="s">
        <v>3930</v>
      </c>
      <c r="N10" s="186" t="s">
        <v>956</v>
      </c>
      <c r="O10" s="186" t="s">
        <v>3927</v>
      </c>
      <c r="P10" s="186" t="s">
        <v>3928</v>
      </c>
      <c r="Q10" s="187"/>
      <c r="R10" s="186" t="s">
        <v>2255</v>
      </c>
      <c r="S10" s="186" t="s">
        <v>3929</v>
      </c>
      <c r="T10" s="186" t="s">
        <v>3929</v>
      </c>
      <c r="U10" s="186" t="s">
        <v>3930</v>
      </c>
      <c r="V10" s="186" t="s">
        <v>2889</v>
      </c>
      <c r="W10" s="186" t="s">
        <v>3930</v>
      </c>
      <c r="X10" s="186" t="s">
        <v>3930</v>
      </c>
      <c r="Z10" s="186" t="s">
        <v>956</v>
      </c>
      <c r="AA10" s="186" t="s">
        <v>3927</v>
      </c>
      <c r="AB10" s="186" t="s">
        <v>3928</v>
      </c>
      <c r="AC10" s="187"/>
      <c r="AD10" s="186" t="s">
        <v>2255</v>
      </c>
      <c r="AE10" s="186" t="s">
        <v>3929</v>
      </c>
      <c r="AF10" s="186" t="s">
        <v>3930</v>
      </c>
      <c r="AG10" s="186" t="s">
        <v>2889</v>
      </c>
      <c r="AH10" s="186" t="s">
        <v>3930</v>
      </c>
      <c r="AI10" s="186" t="s">
        <v>3930</v>
      </c>
      <c r="AJ10" s="186" t="s">
        <v>3930</v>
      </c>
      <c r="AL10" s="186" t="s">
        <v>956</v>
      </c>
      <c r="AM10" s="186" t="s">
        <v>3927</v>
      </c>
      <c r="AN10" s="186" t="s">
        <v>3928</v>
      </c>
      <c r="AO10" s="187"/>
      <c r="AP10" s="186" t="s">
        <v>2255</v>
      </c>
      <c r="AQ10" s="186" t="s">
        <v>3929</v>
      </c>
      <c r="AR10" s="186" t="s">
        <v>3929</v>
      </c>
      <c r="AS10" s="186" t="s">
        <v>3930</v>
      </c>
      <c r="AT10" s="186" t="s">
        <v>2889</v>
      </c>
      <c r="AU10" s="186" t="s">
        <v>3930</v>
      </c>
      <c r="AV10" s="186" t="s">
        <v>3930</v>
      </c>
    </row>
    <row r="11" spans="2:48" ht="12" customHeight="1" x14ac:dyDescent="0.2">
      <c r="B11" s="481" t="e">
        <f>DuctsT!B1</f>
        <v>#DIV/0!</v>
      </c>
      <c r="C11" s="487">
        <v>1</v>
      </c>
      <c r="D11" s="700">
        <f>IF(C11&lt;4,((C11=1)*E22+(C11=2)*F22+(C11=3)*F22),"See L6 &amp; L7")</f>
        <v>0</v>
      </c>
      <c r="E11" s="486">
        <f>'Wrk G'!B22</f>
        <v>1</v>
      </c>
      <c r="F11" s="472">
        <f>L6+L7</f>
        <v>0</v>
      </c>
      <c r="G11" s="612" t="e">
        <f>G22/(F11*1.1*I22*J22)</f>
        <v>#DIV/0!</v>
      </c>
      <c r="H11" s="614">
        <f>DuctsI!R7</f>
        <v>15</v>
      </c>
      <c r="I11" s="869" t="e">
        <f>H22/(F11*1.1*I22*K22)</f>
        <v>#DIV/0!</v>
      </c>
      <c r="J11" s="870" t="e">
        <f>DuctsT!S26</f>
        <v>#DIV/0!</v>
      </c>
      <c r="K11" s="614">
        <f>DuctsI!R8</f>
        <v>90</v>
      </c>
      <c r="L11" s="614">
        <f>'Form N1'!P5</f>
        <v>-32</v>
      </c>
      <c r="N11" s="481"/>
      <c r="O11" s="487"/>
      <c r="P11" s="700">
        <f>IF(O11&lt;4,((O11=1)*Q22+(O11=2)*R22+(O11=3)*R22),"See L6 &amp; L7")</f>
        <v>0</v>
      </c>
      <c r="Q11" s="486">
        <f>'Wrk G'!N22</f>
        <v>1</v>
      </c>
      <c r="R11" s="472">
        <f>X6+X7</f>
        <v>0</v>
      </c>
      <c r="S11" s="612" t="e">
        <f>G11</f>
        <v>#DIV/0!</v>
      </c>
      <c r="T11" s="614"/>
      <c r="U11" s="869" t="e">
        <f>I11</f>
        <v>#DIV/0!</v>
      </c>
      <c r="V11" s="870"/>
      <c r="W11" s="614"/>
      <c r="X11" s="614"/>
      <c r="Z11" s="481"/>
      <c r="AA11" s="487"/>
      <c r="AB11" s="700">
        <f>IF(AA11&lt;4,((AA11=1)*AC22+(AA11=2)*AD22+(AA11=3)*AD22),"See L6 &amp; L7")</f>
        <v>0</v>
      </c>
      <c r="AC11" s="486">
        <f>'Wrk G'!Z22</f>
        <v>1</v>
      </c>
      <c r="AD11" s="472">
        <f>AJ6+AJ7</f>
        <v>0</v>
      </c>
      <c r="AE11" s="612" t="e">
        <f>S11</f>
        <v>#DIV/0!</v>
      </c>
      <c r="AF11" s="614"/>
      <c r="AG11" s="869" t="e">
        <f>I11</f>
        <v>#DIV/0!</v>
      </c>
      <c r="AH11" s="670"/>
      <c r="AI11" s="614"/>
      <c r="AJ11" s="614"/>
      <c r="AL11" s="481"/>
      <c r="AM11" s="487"/>
      <c r="AN11" s="700">
        <f>IF(AM11&lt;4,((AM11=1)*AO22+(AM11=2)*AP22+(AM11=3)*AP22),"See L6 &amp; L7")</f>
        <v>0</v>
      </c>
      <c r="AO11" s="486">
        <f>'Wrk G'!AL22</f>
        <v>1</v>
      </c>
      <c r="AP11" s="472">
        <f>AV6+AV7</f>
        <v>0</v>
      </c>
      <c r="AQ11" s="612" t="e">
        <f>G11</f>
        <v>#DIV/0!</v>
      </c>
      <c r="AR11" s="614"/>
      <c r="AS11" s="869" t="e">
        <f>I11</f>
        <v>#DIV/0!</v>
      </c>
      <c r="AT11" s="670"/>
      <c r="AU11" s="614"/>
      <c r="AV11" s="614"/>
    </row>
    <row r="12" spans="2:48" ht="12" customHeight="1" x14ac:dyDescent="0.2">
      <c r="B12" s="488"/>
      <c r="C12" s="489"/>
      <c r="D12" s="701" t="s">
        <v>4</v>
      </c>
      <c r="E12" s="702"/>
      <c r="F12" s="703"/>
      <c r="G12" s="704"/>
      <c r="H12" s="704"/>
      <c r="I12" s="705"/>
      <c r="J12" s="490"/>
      <c r="K12" s="490"/>
      <c r="L12" s="491"/>
      <c r="N12" s="488"/>
      <c r="O12" s="489"/>
      <c r="P12" s="701" t="s">
        <v>4</v>
      </c>
      <c r="Q12" s="708"/>
      <c r="R12" s="490"/>
      <c r="S12" s="709"/>
      <c r="T12" s="709"/>
      <c r="U12" s="208"/>
      <c r="V12" s="490"/>
      <c r="W12" s="490"/>
      <c r="X12" s="491"/>
      <c r="Z12" s="488"/>
      <c r="AA12" s="489"/>
      <c r="AB12" s="701" t="s">
        <v>4</v>
      </c>
      <c r="AC12" s="702"/>
      <c r="AD12" s="703"/>
      <c r="AE12" s="704"/>
      <c r="AF12" s="704"/>
      <c r="AG12" s="705"/>
      <c r="AH12" s="498"/>
      <c r="AI12" s="490"/>
      <c r="AJ12" s="491"/>
      <c r="AL12" s="488"/>
      <c r="AM12" s="489"/>
      <c r="AN12" s="701" t="s">
        <v>4</v>
      </c>
      <c r="AO12" s="708"/>
      <c r="AP12" s="490"/>
      <c r="AQ12" s="709"/>
      <c r="AR12" s="709"/>
      <c r="AS12" s="208"/>
      <c r="AT12" s="498"/>
      <c r="AU12" s="490"/>
      <c r="AV12" s="491"/>
    </row>
    <row r="13" spans="2:48" ht="12" customHeight="1" x14ac:dyDescent="0.2">
      <c r="B13" s="461" t="s">
        <v>2919</v>
      </c>
      <c r="C13" s="495"/>
      <c r="D13" s="496"/>
      <c r="E13" s="497"/>
      <c r="F13" s="498"/>
      <c r="G13" s="499"/>
      <c r="H13" s="499"/>
      <c r="I13" s="208"/>
      <c r="J13" s="498"/>
      <c r="K13" s="498"/>
      <c r="L13" s="500"/>
      <c r="N13" s="461" t="s">
        <v>2919</v>
      </c>
      <c r="O13" s="495"/>
      <c r="P13" s="496"/>
      <c r="Q13" s="497"/>
      <c r="R13" s="498"/>
      <c r="S13" s="499"/>
      <c r="T13" s="499"/>
      <c r="U13" s="208"/>
      <c r="V13" s="498"/>
      <c r="W13" s="498"/>
      <c r="X13" s="500"/>
      <c r="Z13" s="461" t="s">
        <v>2919</v>
      </c>
      <c r="AA13" s="495"/>
      <c r="AB13" s="496"/>
      <c r="AC13" s="497"/>
      <c r="AD13" s="498"/>
      <c r="AE13" s="499"/>
      <c r="AF13" s="499"/>
      <c r="AG13" s="208"/>
      <c r="AH13" s="498"/>
      <c r="AI13" s="498"/>
      <c r="AJ13" s="500"/>
      <c r="AL13" s="461" t="s">
        <v>2919</v>
      </c>
      <c r="AM13" s="495"/>
      <c r="AN13" s="496"/>
      <c r="AO13" s="497"/>
      <c r="AP13" s="498"/>
      <c r="AQ13" s="499"/>
      <c r="AR13" s="499"/>
      <c r="AS13" s="208"/>
      <c r="AT13" s="498"/>
      <c r="AU13" s="498"/>
      <c r="AV13" s="500"/>
    </row>
    <row r="14" spans="2:48" ht="12" customHeight="1" x14ac:dyDescent="0.2">
      <c r="B14" s="461" t="s">
        <v>2583</v>
      </c>
      <c r="C14" s="615"/>
      <c r="D14" s="616"/>
      <c r="E14" s="617"/>
      <c r="F14" s="618"/>
      <c r="G14" s="499"/>
      <c r="H14" s="499"/>
      <c r="I14" s="208"/>
      <c r="J14" s="498"/>
      <c r="K14" s="498"/>
      <c r="L14" s="500"/>
      <c r="N14" s="461" t="s">
        <v>2583</v>
      </c>
      <c r="O14" s="495"/>
      <c r="P14" s="496"/>
      <c r="Q14" s="497"/>
      <c r="R14" s="498"/>
      <c r="S14" s="499"/>
      <c r="T14" s="499"/>
      <c r="U14" s="208"/>
      <c r="V14" s="498"/>
      <c r="W14" s="498"/>
      <c r="X14" s="500"/>
      <c r="Z14" s="461" t="s">
        <v>2583</v>
      </c>
      <c r="AA14" s="495"/>
      <c r="AB14" s="496"/>
      <c r="AC14" s="497"/>
      <c r="AD14" s="498"/>
      <c r="AE14" s="499"/>
      <c r="AF14" s="499"/>
      <c r="AG14" s="208"/>
      <c r="AH14" s="498"/>
      <c r="AI14" s="498"/>
      <c r="AJ14" s="500"/>
      <c r="AL14" s="461" t="s">
        <v>2583</v>
      </c>
      <c r="AM14" s="495"/>
      <c r="AN14" s="496"/>
      <c r="AO14" s="497"/>
      <c r="AP14" s="498"/>
      <c r="AQ14" s="499"/>
      <c r="AR14" s="499"/>
      <c r="AS14" s="208"/>
      <c r="AT14" s="498"/>
      <c r="AU14" s="498"/>
      <c r="AV14" s="500"/>
    </row>
    <row r="15" spans="2:48" ht="12" customHeight="1" x14ac:dyDescent="0.2">
      <c r="B15" s="461" t="s">
        <v>2726</v>
      </c>
      <c r="C15" s="615"/>
      <c r="D15" s="616"/>
      <c r="E15" s="617"/>
      <c r="F15" s="618"/>
      <c r="G15" s="499"/>
      <c r="H15" s="499"/>
      <c r="I15" s="208"/>
      <c r="J15" s="498"/>
      <c r="K15" s="498"/>
      <c r="L15" s="500"/>
      <c r="N15" s="461" t="s">
        <v>2726</v>
      </c>
      <c r="O15" s="495"/>
      <c r="P15" s="496"/>
      <c r="Q15" s="497"/>
      <c r="R15" s="498"/>
      <c r="S15" s="499"/>
      <c r="T15" s="499"/>
      <c r="U15" s="208"/>
      <c r="V15" s="498"/>
      <c r="W15" s="498"/>
      <c r="X15" s="500"/>
      <c r="Z15" s="461" t="s">
        <v>2726</v>
      </c>
      <c r="AA15" s="495"/>
      <c r="AB15" s="496"/>
      <c r="AC15" s="497"/>
      <c r="AD15" s="498"/>
      <c r="AE15" s="499"/>
      <c r="AF15" s="499"/>
      <c r="AG15" s="208"/>
      <c r="AH15" s="498"/>
      <c r="AI15" s="498"/>
      <c r="AJ15" s="500"/>
      <c r="AL15" s="461" t="s">
        <v>2726</v>
      </c>
      <c r="AM15" s="495"/>
      <c r="AN15" s="496"/>
      <c r="AO15" s="497"/>
      <c r="AP15" s="498"/>
      <c r="AQ15" s="499"/>
      <c r="AR15" s="499"/>
      <c r="AS15" s="208"/>
      <c r="AT15" s="498"/>
      <c r="AU15" s="498"/>
      <c r="AV15" s="500"/>
    </row>
    <row r="16" spans="2:48" ht="12" customHeight="1" x14ac:dyDescent="0.2">
      <c r="B16" s="461" t="s">
        <v>904</v>
      </c>
      <c r="C16" s="615"/>
      <c r="D16" s="616"/>
      <c r="E16" s="617"/>
      <c r="F16" s="618"/>
      <c r="G16" s="499"/>
      <c r="H16" s="499"/>
      <c r="I16" s="208"/>
      <c r="J16" s="498"/>
      <c r="K16" s="498"/>
      <c r="L16" s="500"/>
      <c r="N16" s="461" t="s">
        <v>904</v>
      </c>
      <c r="O16" s="495"/>
      <c r="P16" s="496"/>
      <c r="Q16" s="497"/>
      <c r="R16" s="498"/>
      <c r="S16" s="499"/>
      <c r="T16" s="499"/>
      <c r="U16" s="208"/>
      <c r="V16" s="498"/>
      <c r="W16" s="498"/>
      <c r="X16" s="500"/>
      <c r="Z16" s="461" t="s">
        <v>2441</v>
      </c>
      <c r="AA16" s="495"/>
      <c r="AB16" s="496"/>
      <c r="AC16" s="497"/>
      <c r="AD16" s="498"/>
      <c r="AE16" s="499"/>
      <c r="AF16" s="499"/>
      <c r="AG16" s="208"/>
      <c r="AH16" s="498"/>
      <c r="AI16" s="498"/>
      <c r="AJ16" s="500"/>
      <c r="AL16" s="461" t="s">
        <v>904</v>
      </c>
      <c r="AM16" s="495"/>
      <c r="AN16" s="496"/>
      <c r="AO16" s="497"/>
      <c r="AP16" s="498"/>
      <c r="AQ16" s="499"/>
      <c r="AR16" s="499"/>
      <c r="AS16" s="208"/>
      <c r="AT16" s="498"/>
      <c r="AU16" s="498"/>
      <c r="AV16" s="500"/>
    </row>
    <row r="17" spans="2:48" ht="12" customHeight="1" x14ac:dyDescent="0.2">
      <c r="B17" s="461" t="s">
        <v>1449</v>
      </c>
      <c r="C17" s="615"/>
      <c r="D17" s="616"/>
      <c r="E17" s="617"/>
      <c r="F17" s="618"/>
      <c r="G17" s="499"/>
      <c r="H17" s="499"/>
      <c r="I17" s="208"/>
      <c r="J17" s="498"/>
      <c r="K17" s="498"/>
      <c r="L17" s="500"/>
      <c r="N17" s="461" t="s">
        <v>1449</v>
      </c>
      <c r="O17" s="495"/>
      <c r="P17" s="496"/>
      <c r="Q17" s="497"/>
      <c r="R17" s="498"/>
      <c r="S17" s="499"/>
      <c r="T17" s="499"/>
      <c r="U17" s="208"/>
      <c r="V17" s="498"/>
      <c r="W17" s="498"/>
      <c r="X17" s="500"/>
      <c r="Z17" s="461" t="s">
        <v>1449</v>
      </c>
      <c r="AA17" s="495"/>
      <c r="AB17" s="496"/>
      <c r="AC17" s="497"/>
      <c r="AD17" s="498"/>
      <c r="AE17" s="499"/>
      <c r="AF17" s="499"/>
      <c r="AG17" s="208"/>
      <c r="AH17" s="498"/>
      <c r="AI17" s="498"/>
      <c r="AJ17" s="500"/>
      <c r="AL17" s="461" t="s">
        <v>1449</v>
      </c>
      <c r="AM17" s="495"/>
      <c r="AN17" s="496"/>
      <c r="AO17" s="497"/>
      <c r="AP17" s="498"/>
      <c r="AQ17" s="499"/>
      <c r="AR17" s="499"/>
      <c r="AS17" s="208"/>
      <c r="AT17" s="498"/>
      <c r="AU17" s="498"/>
      <c r="AV17" s="500"/>
    </row>
    <row r="18" spans="2:48" ht="12" customHeight="1" x14ac:dyDescent="0.2">
      <c r="B18" s="461" t="s">
        <v>2582</v>
      </c>
      <c r="C18" s="495"/>
      <c r="D18" s="496"/>
      <c r="E18" s="497"/>
      <c r="F18" s="498"/>
      <c r="G18" s="499"/>
      <c r="H18" s="499"/>
      <c r="I18" s="208"/>
      <c r="J18" s="498"/>
      <c r="K18" s="498"/>
      <c r="L18" s="500"/>
      <c r="N18" s="461" t="s">
        <v>2582</v>
      </c>
      <c r="O18" s="495"/>
      <c r="P18" s="496"/>
      <c r="Q18" s="497"/>
      <c r="R18" s="498"/>
      <c r="S18" s="499"/>
      <c r="T18" s="499"/>
      <c r="U18" s="208"/>
      <c r="V18" s="498"/>
      <c r="W18" s="498"/>
      <c r="X18" s="500"/>
      <c r="Z18" s="461" t="s">
        <v>2582</v>
      </c>
      <c r="AA18" s="495"/>
      <c r="AB18" s="496"/>
      <c r="AC18" s="497"/>
      <c r="AD18" s="498"/>
      <c r="AE18" s="499"/>
      <c r="AF18" s="499"/>
      <c r="AG18" s="208"/>
      <c r="AH18" s="498"/>
      <c r="AI18" s="498"/>
      <c r="AJ18" s="500"/>
      <c r="AL18" s="461" t="s">
        <v>2582</v>
      </c>
      <c r="AM18" s="495"/>
      <c r="AN18" s="496"/>
      <c r="AO18" s="497"/>
      <c r="AP18" s="498"/>
      <c r="AQ18" s="499"/>
      <c r="AR18" s="499"/>
      <c r="AS18" s="208"/>
      <c r="AT18" s="498"/>
      <c r="AU18" s="498"/>
      <c r="AV18" s="500"/>
    </row>
    <row r="19" spans="2:48" ht="8.1" customHeight="1" x14ac:dyDescent="0.2">
      <c r="B19" s="494"/>
      <c r="C19" s="495"/>
      <c r="D19" s="496"/>
      <c r="E19" s="497"/>
      <c r="F19" s="498"/>
      <c r="G19" s="499"/>
      <c r="H19" s="499"/>
      <c r="I19" s="208"/>
      <c r="J19" s="498"/>
      <c r="K19" s="498"/>
      <c r="L19" s="500"/>
      <c r="N19" s="494"/>
      <c r="O19" s="495"/>
      <c r="P19" s="496"/>
      <c r="Q19" s="497"/>
      <c r="R19" s="498"/>
      <c r="S19" s="499"/>
      <c r="T19" s="499"/>
      <c r="U19" s="208"/>
      <c r="V19" s="498"/>
      <c r="W19" s="498"/>
      <c r="X19" s="500"/>
      <c r="Z19" s="494"/>
      <c r="AA19" s="495"/>
      <c r="AB19" s="496"/>
      <c r="AC19" s="497"/>
      <c r="AD19" s="498"/>
      <c r="AE19" s="499"/>
      <c r="AF19" s="499"/>
      <c r="AG19" s="208"/>
      <c r="AH19" s="498"/>
      <c r="AI19" s="498"/>
      <c r="AJ19" s="500"/>
      <c r="AL19" s="494"/>
      <c r="AM19" s="495"/>
      <c r="AN19" s="496"/>
      <c r="AO19" s="497"/>
      <c r="AP19" s="498"/>
      <c r="AQ19" s="499"/>
      <c r="AR19" s="499"/>
      <c r="AS19" s="208"/>
      <c r="AT19" s="498"/>
      <c r="AU19" s="498"/>
      <c r="AV19" s="500"/>
    </row>
    <row r="20" spans="2:48" ht="12" customHeight="1" x14ac:dyDescent="0.2">
      <c r="B20" s="1951" t="s">
        <v>472</v>
      </c>
      <c r="C20" s="1314"/>
      <c r="D20" s="1314"/>
      <c r="E20" s="1314"/>
      <c r="F20" s="1315"/>
      <c r="G20" s="1951" t="s">
        <v>2256</v>
      </c>
      <c r="H20" s="1315"/>
      <c r="I20" s="514" t="s">
        <v>3482</v>
      </c>
      <c r="J20" s="514" t="s">
        <v>2442</v>
      </c>
      <c r="K20" s="514" t="s">
        <v>2443</v>
      </c>
      <c r="L20" s="515"/>
      <c r="N20" s="1951" t="s">
        <v>472</v>
      </c>
      <c r="O20" s="1314"/>
      <c r="P20" s="1314"/>
      <c r="Q20" s="1314"/>
      <c r="R20" s="1315"/>
      <c r="S20" s="1951" t="s">
        <v>2256</v>
      </c>
      <c r="T20" s="1695"/>
      <c r="U20" s="514" t="s">
        <v>3482</v>
      </c>
      <c r="V20" s="514" t="s">
        <v>2442</v>
      </c>
      <c r="W20" s="514" t="s">
        <v>2443</v>
      </c>
      <c r="X20" s="515"/>
      <c r="Z20" s="1951" t="s">
        <v>472</v>
      </c>
      <c r="AA20" s="1314"/>
      <c r="AB20" s="1314"/>
      <c r="AC20" s="1314"/>
      <c r="AD20" s="1315"/>
      <c r="AE20" s="1951" t="s">
        <v>2256</v>
      </c>
      <c r="AF20" s="1315"/>
      <c r="AG20" s="514" t="s">
        <v>3482</v>
      </c>
      <c r="AH20" s="514" t="s">
        <v>2442</v>
      </c>
      <c r="AI20" s="514" t="s">
        <v>2443</v>
      </c>
      <c r="AJ20" s="515"/>
      <c r="AL20" s="1951" t="s">
        <v>472</v>
      </c>
      <c r="AM20" s="1314"/>
      <c r="AN20" s="1314"/>
      <c r="AO20" s="1314"/>
      <c r="AP20" s="1315"/>
      <c r="AQ20" s="1951" t="s">
        <v>2256</v>
      </c>
      <c r="AR20" s="1315"/>
      <c r="AS20" s="514" t="s">
        <v>3482</v>
      </c>
      <c r="AT20" s="514" t="s">
        <v>2442</v>
      </c>
      <c r="AU20" s="514" t="s">
        <v>2443</v>
      </c>
      <c r="AV20" s="515"/>
    </row>
    <row r="21" spans="2:48" ht="12" customHeight="1" x14ac:dyDescent="0.2">
      <c r="B21" s="483" t="s">
        <v>467</v>
      </c>
      <c r="C21" s="482" t="s">
        <v>468</v>
      </c>
      <c r="D21" s="482" t="s">
        <v>469</v>
      </c>
      <c r="E21" s="483" t="s">
        <v>470</v>
      </c>
      <c r="F21" s="482" t="s">
        <v>471</v>
      </c>
      <c r="G21" s="483" t="s">
        <v>3983</v>
      </c>
      <c r="H21" s="482" t="s">
        <v>3984</v>
      </c>
      <c r="I21" s="516"/>
      <c r="J21" s="911" t="s">
        <v>3471</v>
      </c>
      <c r="K21" s="911" t="s">
        <v>3471</v>
      </c>
      <c r="L21" s="515"/>
      <c r="N21" s="483" t="s">
        <v>467</v>
      </c>
      <c r="O21" s="482" t="s">
        <v>468</v>
      </c>
      <c r="P21" s="482" t="s">
        <v>469</v>
      </c>
      <c r="Q21" s="482" t="s">
        <v>470</v>
      </c>
      <c r="R21" s="482" t="s">
        <v>471</v>
      </c>
      <c r="S21" s="483" t="s">
        <v>3983</v>
      </c>
      <c r="T21" s="482" t="s">
        <v>3984</v>
      </c>
      <c r="U21" s="516"/>
      <c r="V21" s="911" t="s">
        <v>3471</v>
      </c>
      <c r="W21" s="911" t="s">
        <v>3471</v>
      </c>
      <c r="X21" s="515"/>
      <c r="Z21" s="483" t="s">
        <v>467</v>
      </c>
      <c r="AA21" s="482" t="s">
        <v>468</v>
      </c>
      <c r="AB21" s="482" t="s">
        <v>469</v>
      </c>
      <c r="AC21" s="482" t="s">
        <v>470</v>
      </c>
      <c r="AD21" s="482" t="s">
        <v>471</v>
      </c>
      <c r="AE21" s="483" t="s">
        <v>3983</v>
      </c>
      <c r="AF21" s="482" t="s">
        <v>3984</v>
      </c>
      <c r="AG21" s="516"/>
      <c r="AH21" s="911" t="s">
        <v>3471</v>
      </c>
      <c r="AI21" s="911" t="s">
        <v>3471</v>
      </c>
      <c r="AJ21" s="515"/>
      <c r="AL21" s="483" t="s">
        <v>467</v>
      </c>
      <c r="AM21" s="482" t="s">
        <v>468</v>
      </c>
      <c r="AN21" s="482" t="s">
        <v>469</v>
      </c>
      <c r="AO21" s="482" t="s">
        <v>470</v>
      </c>
      <c r="AP21" s="482" t="s">
        <v>471</v>
      </c>
      <c r="AQ21" s="483" t="s">
        <v>3983</v>
      </c>
      <c r="AR21" s="482" t="s">
        <v>3984</v>
      </c>
      <c r="AS21" s="516"/>
      <c r="AT21" s="911" t="s">
        <v>3471</v>
      </c>
      <c r="AU21" s="911" t="s">
        <v>3471</v>
      </c>
      <c r="AV21" s="515"/>
    </row>
    <row r="22" spans="2:48" ht="12" customHeight="1" x14ac:dyDescent="0.2">
      <c r="B22" s="706">
        <f>IF(L7&gt;0,MAX(L6:L7)/MIN(L6:L7),1)</f>
        <v>1</v>
      </c>
      <c r="C22" s="707">
        <f>IF(C11=1,L6,IF(C11&gt;1,IF(L7&gt;0,(L6+L7),"error")))</f>
        <v>0</v>
      </c>
      <c r="D22" s="484">
        <f>0.75*C22</f>
        <v>0</v>
      </c>
      <c r="E22" s="707">
        <f>IF(L7&gt;0,9999999,L6)</f>
        <v>0</v>
      </c>
      <c r="F22" s="484">
        <f>(IF(B22&gt;=3,(MAX(L6:L7)),D22))*(C11&gt;1)</f>
        <v>0</v>
      </c>
      <c r="G22" s="484">
        <f>SUM('Form N1'!N10:N41)+'Form N1'!N50</f>
        <v>0</v>
      </c>
      <c r="H22" s="484">
        <f>SUM('Form N1'!O10:O50)</f>
        <v>0</v>
      </c>
      <c r="I22" s="507">
        <f>'Wrk A'!L5</f>
        <v>0.93</v>
      </c>
      <c r="J22" s="507">
        <f>G26-H26</f>
        <v>30</v>
      </c>
      <c r="K22" s="507">
        <f>J26-K26</f>
        <v>20</v>
      </c>
      <c r="L22" s="515"/>
      <c r="N22" s="706">
        <f>IF(X7&gt;0,MAX(X6:X7)/MIN(X6:X7),1)</f>
        <v>1</v>
      </c>
      <c r="O22" s="707" t="b">
        <f>IF(O11=1,X6,IF(O11&gt;1,IF(X7&gt;0,(X6+X7),"error")))</f>
        <v>0</v>
      </c>
      <c r="P22" s="484">
        <f>0.75*O22</f>
        <v>0</v>
      </c>
      <c r="Q22" s="707">
        <f>IF(X7&gt;0,9999999,X6)</f>
        <v>0</v>
      </c>
      <c r="R22" s="484">
        <f>(IF(N22&gt;=3,(MAX(X6:X7)),P22))*(O11&gt;1)</f>
        <v>0</v>
      </c>
      <c r="S22" s="808"/>
      <c r="T22" s="808"/>
      <c r="U22" s="507">
        <f>I22</f>
        <v>0.93</v>
      </c>
      <c r="V22" s="507">
        <f>S26-T26</f>
        <v>30</v>
      </c>
      <c r="W22" s="507">
        <f>V26-W26</f>
        <v>20</v>
      </c>
      <c r="X22" s="515"/>
      <c r="Z22" s="706">
        <f>IF(AJ7&gt;0,MAX(AJ6:AJ7)/MIN(AJ6:AJ7),1)</f>
        <v>1</v>
      </c>
      <c r="AA22" s="707" t="b">
        <f>IF(AA11=1,AJ6,IF(AA11&gt;1,IF(AJ7&gt;0,(AJ6+AJ7),"error")))</f>
        <v>0</v>
      </c>
      <c r="AB22" s="710">
        <f>0.75*AA22</f>
        <v>0</v>
      </c>
      <c r="AC22" s="707">
        <f>IF(AJ7&gt;0,9999999,AJ6)</f>
        <v>0</v>
      </c>
      <c r="AD22" s="484">
        <f>(IF(Z22&gt;=3,(MAX(AJ6:AJ7)),AB22))*(AA11&gt;1)</f>
        <v>0</v>
      </c>
      <c r="AE22" s="808"/>
      <c r="AF22" s="808"/>
      <c r="AG22" s="507">
        <f>U22</f>
        <v>0.93</v>
      </c>
      <c r="AH22" s="507">
        <f>AE26-AF26</f>
        <v>30</v>
      </c>
      <c r="AI22" s="507">
        <f>AH26-AI26</f>
        <v>20</v>
      </c>
      <c r="AJ22" s="515"/>
      <c r="AL22" s="706">
        <f>IF(AV7&gt;0,MAX(AV6:AV7)/MIN(AV6:AV7),1)</f>
        <v>1</v>
      </c>
      <c r="AM22" s="707" t="b">
        <f>IF(AM11=1,AV6,IF(AM11&gt;1,IF(AV7&gt;0,(AV6+AV7),"error")))</f>
        <v>0</v>
      </c>
      <c r="AN22" s="484">
        <f>0.75*AM22</f>
        <v>0</v>
      </c>
      <c r="AO22" s="707">
        <f>IF(AV7&gt;0,9999999,AV6)</f>
        <v>0</v>
      </c>
      <c r="AP22" s="484">
        <f>(IF(AL22&gt;=3,(MAX(AV6:AV7)),AN22))*(AM11&gt;1)</f>
        <v>0</v>
      </c>
      <c r="AQ22" s="808"/>
      <c r="AR22" s="808"/>
      <c r="AS22" s="507">
        <f>AG22</f>
        <v>0.93</v>
      </c>
      <c r="AT22" s="507">
        <f>AQ26-AR26</f>
        <v>30</v>
      </c>
      <c r="AU22" s="507">
        <f>AT26-AU26</f>
        <v>20</v>
      </c>
      <c r="AV22" s="515"/>
    </row>
    <row r="23" spans="2:48" ht="8.1" customHeight="1" x14ac:dyDescent="0.2">
      <c r="B23" s="494"/>
      <c r="C23" s="495"/>
      <c r="D23" s="496"/>
      <c r="E23" s="497"/>
      <c r="F23" s="498"/>
      <c r="G23" s="499"/>
      <c r="H23" s="499"/>
      <c r="I23" s="208"/>
      <c r="J23" s="498"/>
      <c r="K23" s="498"/>
      <c r="L23" s="500"/>
      <c r="N23" s="494"/>
      <c r="O23" s="495"/>
      <c r="P23" s="496"/>
      <c r="Q23" s="497"/>
      <c r="R23" s="498"/>
      <c r="S23" s="499"/>
      <c r="T23" s="499"/>
      <c r="U23" s="208"/>
      <c r="V23" s="498"/>
      <c r="W23" s="498"/>
      <c r="X23" s="500"/>
      <c r="Z23" s="494"/>
      <c r="AA23" s="495"/>
      <c r="AB23" s="496"/>
      <c r="AC23" s="497"/>
      <c r="AD23" s="498"/>
      <c r="AE23" s="499"/>
      <c r="AF23" s="499"/>
      <c r="AG23" s="208"/>
      <c r="AH23" s="498"/>
      <c r="AI23" s="498"/>
      <c r="AJ23" s="500"/>
      <c r="AL23" s="494"/>
      <c r="AM23" s="495"/>
      <c r="AN23" s="496"/>
      <c r="AO23" s="497"/>
      <c r="AP23" s="498"/>
      <c r="AQ23" s="499"/>
      <c r="AR23" s="499"/>
      <c r="AS23" s="208"/>
      <c r="AT23" s="498"/>
      <c r="AU23" s="498"/>
      <c r="AV23" s="500"/>
    </row>
    <row r="24" spans="2:48" ht="12" customHeight="1" x14ac:dyDescent="0.2">
      <c r="B24" s="509" t="s">
        <v>2254</v>
      </c>
      <c r="C24" s="465"/>
      <c r="D24" s="463"/>
      <c r="E24" s="464"/>
      <c r="G24" s="1952" t="s">
        <v>2259</v>
      </c>
      <c r="H24" s="1953"/>
      <c r="J24" s="1952" t="s">
        <v>2260</v>
      </c>
      <c r="K24" s="1953"/>
      <c r="L24" s="212"/>
      <c r="N24" s="509" t="s">
        <v>2254</v>
      </c>
      <c r="O24" s="465"/>
      <c r="P24" s="463"/>
      <c r="Q24" s="464"/>
      <c r="S24" s="1952" t="s">
        <v>2259</v>
      </c>
      <c r="T24" s="1953"/>
      <c r="V24" s="1952" t="s">
        <v>2260</v>
      </c>
      <c r="W24" s="1953"/>
      <c r="X24" s="212"/>
      <c r="Z24" s="509" t="s">
        <v>2254</v>
      </c>
      <c r="AA24" s="465"/>
      <c r="AB24" s="463"/>
      <c r="AC24" s="464"/>
      <c r="AE24" s="1952" t="s">
        <v>2259</v>
      </c>
      <c r="AF24" s="1953"/>
      <c r="AH24" s="1952" t="s">
        <v>2260</v>
      </c>
      <c r="AI24" s="1953"/>
      <c r="AJ24" s="212"/>
      <c r="AL24" s="509" t="s">
        <v>2254</v>
      </c>
      <c r="AM24" s="465"/>
      <c r="AN24" s="463"/>
      <c r="AO24" s="464"/>
      <c r="AQ24" s="1952" t="s">
        <v>2259</v>
      </c>
      <c r="AR24" s="1953"/>
      <c r="AT24" s="1952" t="s">
        <v>2260</v>
      </c>
      <c r="AU24" s="1953"/>
      <c r="AV24" s="212"/>
    </row>
    <row r="25" spans="2:48" ht="12" customHeight="1" x14ac:dyDescent="0.2">
      <c r="B25" s="1954" t="s">
        <v>2257</v>
      </c>
      <c r="C25" s="1388"/>
      <c r="D25" s="1388"/>
      <c r="E25" s="1955"/>
      <c r="G25" s="508" t="s">
        <v>2258</v>
      </c>
      <c r="H25" s="508" t="s">
        <v>3949</v>
      </c>
      <c r="J25" s="508" t="s">
        <v>3949</v>
      </c>
      <c r="K25" s="508" t="s">
        <v>2258</v>
      </c>
      <c r="L25" s="212"/>
      <c r="N25" s="1954" t="s">
        <v>2257</v>
      </c>
      <c r="O25" s="1388"/>
      <c r="P25" s="1388"/>
      <c r="Q25" s="1955"/>
      <c r="S25" s="508" t="s">
        <v>2258</v>
      </c>
      <c r="T25" s="508" t="s">
        <v>3949</v>
      </c>
      <c r="V25" s="508" t="s">
        <v>3949</v>
      </c>
      <c r="W25" s="508" t="s">
        <v>2258</v>
      </c>
      <c r="X25" s="212"/>
      <c r="Z25" s="1954" t="s">
        <v>2257</v>
      </c>
      <c r="AA25" s="1388"/>
      <c r="AB25" s="1388"/>
      <c r="AC25" s="1955"/>
      <c r="AE25" s="508" t="s">
        <v>2258</v>
      </c>
      <c r="AF25" s="508" t="s">
        <v>3949</v>
      </c>
      <c r="AH25" s="508" t="s">
        <v>3949</v>
      </c>
      <c r="AI25" s="508" t="s">
        <v>2258</v>
      </c>
      <c r="AJ25" s="212"/>
      <c r="AL25" s="1954" t="s">
        <v>2257</v>
      </c>
      <c r="AM25" s="1388"/>
      <c r="AN25" s="1388"/>
      <c r="AO25" s="1955"/>
      <c r="AQ25" s="508" t="s">
        <v>2258</v>
      </c>
      <c r="AR25" s="508" t="s">
        <v>3949</v>
      </c>
      <c r="AT25" s="508" t="s">
        <v>3949</v>
      </c>
      <c r="AU25" s="508" t="s">
        <v>2258</v>
      </c>
      <c r="AV25" s="212"/>
    </row>
    <row r="26" spans="2:48" ht="12" customHeight="1" x14ac:dyDescent="0.2">
      <c r="B26" s="1385"/>
      <c r="C26" s="1388"/>
      <c r="D26" s="1388"/>
      <c r="E26" s="1955"/>
      <c r="G26" s="506">
        <v>100</v>
      </c>
      <c r="H26" s="506">
        <f>'Wrk A'!D25</f>
        <v>70</v>
      </c>
      <c r="J26" s="506">
        <f>'Wrk A'!J26</f>
        <v>75</v>
      </c>
      <c r="K26" s="506">
        <v>55</v>
      </c>
      <c r="L26" s="212"/>
      <c r="N26" s="1385"/>
      <c r="O26" s="1388"/>
      <c r="P26" s="1388"/>
      <c r="Q26" s="1955"/>
      <c r="S26" s="506">
        <v>100</v>
      </c>
      <c r="T26" s="506">
        <f>H26</f>
        <v>70</v>
      </c>
      <c r="V26" s="506">
        <f>J26</f>
        <v>75</v>
      </c>
      <c r="W26" s="506">
        <v>55</v>
      </c>
      <c r="X26" s="212"/>
      <c r="Z26" s="1385"/>
      <c r="AA26" s="1388"/>
      <c r="AB26" s="1388"/>
      <c r="AC26" s="1955"/>
      <c r="AE26" s="506">
        <v>100</v>
      </c>
      <c r="AF26" s="506">
        <f>T26</f>
        <v>70</v>
      </c>
      <c r="AH26" s="506">
        <f>V26</f>
        <v>75</v>
      </c>
      <c r="AI26" s="506">
        <v>55</v>
      </c>
      <c r="AJ26" s="212"/>
      <c r="AL26" s="1385"/>
      <c r="AM26" s="1388"/>
      <c r="AN26" s="1388"/>
      <c r="AO26" s="1955"/>
      <c r="AQ26" s="506">
        <v>100</v>
      </c>
      <c r="AR26" s="506">
        <f>AF26</f>
        <v>70</v>
      </c>
      <c r="AT26" s="506">
        <f>AH26</f>
        <v>75</v>
      </c>
      <c r="AU26" s="506">
        <v>55</v>
      </c>
      <c r="AV26" s="212"/>
    </row>
    <row r="27" spans="2:48" ht="8.1" customHeight="1" x14ac:dyDescent="0.2">
      <c r="B27" s="179"/>
      <c r="C27" s="462"/>
      <c r="D27" s="463"/>
      <c r="E27" s="464"/>
      <c r="F27" s="465"/>
      <c r="G27" s="465"/>
      <c r="H27" s="465"/>
      <c r="I27" s="465"/>
      <c r="J27" s="465"/>
      <c r="K27" s="465"/>
      <c r="L27" s="212"/>
      <c r="N27" s="179"/>
      <c r="O27" s="462"/>
      <c r="P27" s="463"/>
      <c r="Q27" s="464"/>
      <c r="R27" s="465"/>
      <c r="S27" s="465"/>
      <c r="T27" s="465"/>
      <c r="U27" s="465"/>
      <c r="V27" s="465"/>
      <c r="W27" s="465"/>
      <c r="X27" s="212"/>
      <c r="Z27" s="179"/>
      <c r="AA27" s="462"/>
      <c r="AB27" s="463"/>
      <c r="AC27" s="464"/>
      <c r="AD27" s="465"/>
      <c r="AE27" s="465"/>
      <c r="AF27" s="465"/>
      <c r="AG27" s="465"/>
      <c r="AH27" s="465"/>
      <c r="AI27" s="465"/>
      <c r="AJ27" s="212"/>
      <c r="AL27" s="179"/>
      <c r="AM27" s="462"/>
      <c r="AN27" s="463"/>
      <c r="AO27" s="464"/>
      <c r="AP27" s="465"/>
      <c r="AQ27" s="465"/>
      <c r="AR27" s="465"/>
      <c r="AS27" s="465"/>
      <c r="AT27" s="465"/>
      <c r="AU27" s="465"/>
      <c r="AV27" s="212"/>
    </row>
    <row r="28" spans="2:48" ht="8.1" customHeight="1" x14ac:dyDescent="0.2">
      <c r="B28" s="252"/>
      <c r="C28" s="208"/>
      <c r="D28" s="208"/>
      <c r="E28" s="561"/>
      <c r="F28" s="561"/>
      <c r="G28" s="561"/>
      <c r="H28" s="208"/>
      <c r="I28" s="208"/>
      <c r="J28" s="208"/>
      <c r="K28" s="560"/>
      <c r="L28" s="562"/>
      <c r="N28" s="252"/>
      <c r="O28" s="208"/>
      <c r="P28" s="208"/>
      <c r="Q28" s="561"/>
      <c r="R28" s="561"/>
      <c r="S28" s="561"/>
      <c r="T28" s="208"/>
      <c r="U28" s="208"/>
      <c r="V28" s="208"/>
      <c r="W28" s="560"/>
      <c r="X28" s="562"/>
      <c r="Z28" s="252"/>
      <c r="AA28" s="208"/>
      <c r="AB28" s="208"/>
      <c r="AC28" s="561"/>
      <c r="AD28" s="561"/>
      <c r="AE28" s="561"/>
      <c r="AF28" s="208"/>
      <c r="AG28" s="208"/>
      <c r="AH28" s="208"/>
      <c r="AI28" s="560"/>
      <c r="AJ28" s="562"/>
      <c r="AL28" s="252"/>
      <c r="AM28" s="208"/>
      <c r="AN28" s="208"/>
      <c r="AO28" s="561"/>
      <c r="AP28" s="561"/>
      <c r="AQ28" s="561"/>
      <c r="AR28" s="208"/>
      <c r="AS28" s="208"/>
      <c r="AT28" s="208"/>
      <c r="AU28" s="560"/>
      <c r="AV28" s="562"/>
    </row>
    <row r="29" spans="2:48" ht="12" customHeight="1" x14ac:dyDescent="0.2">
      <c r="B29" s="471" t="s">
        <v>357</v>
      </c>
      <c r="C29" s="460"/>
      <c r="D29" s="180"/>
      <c r="E29" s="180"/>
      <c r="F29" s="180"/>
      <c r="G29" s="180"/>
      <c r="H29" s="180"/>
      <c r="I29" s="180" t="s">
        <v>358</v>
      </c>
      <c r="J29" s="180"/>
      <c r="K29" s="180"/>
      <c r="L29" s="213"/>
      <c r="N29" s="471" t="s">
        <v>743</v>
      </c>
      <c r="O29" s="460"/>
      <c r="P29" s="180"/>
      <c r="Q29" s="180"/>
      <c r="R29" s="180"/>
      <c r="S29" s="180"/>
      <c r="T29" s="180"/>
      <c r="U29" s="180"/>
      <c r="V29" s="180"/>
      <c r="W29" s="180"/>
      <c r="X29" s="213"/>
      <c r="Z29" s="471" t="s">
        <v>743</v>
      </c>
      <c r="AA29" s="460"/>
      <c r="AB29" s="180"/>
      <c r="AC29" s="180"/>
      <c r="AD29" s="180"/>
      <c r="AE29" s="180"/>
      <c r="AF29" s="180"/>
      <c r="AG29" s="180"/>
      <c r="AH29" s="180"/>
      <c r="AI29" s="180"/>
      <c r="AJ29" s="213"/>
      <c r="AL29" s="471" t="s">
        <v>743</v>
      </c>
      <c r="AM29" s="460"/>
      <c r="AN29" s="180"/>
      <c r="AO29" s="180"/>
      <c r="AP29" s="180"/>
      <c r="AQ29" s="180"/>
      <c r="AR29" s="180"/>
      <c r="AS29" s="180"/>
      <c r="AT29" s="180"/>
      <c r="AU29" s="180"/>
      <c r="AV29" s="213"/>
    </row>
    <row r="30" spans="2:48" ht="12" customHeight="1" x14ac:dyDescent="0.2">
      <c r="B30" s="179"/>
      <c r="C30" s="228" t="s">
        <v>3407</v>
      </c>
      <c r="D30" s="180"/>
      <c r="E30" s="180"/>
      <c r="F30" s="228"/>
      <c r="G30" s="282" t="s">
        <v>3408</v>
      </c>
      <c r="H30" s="180"/>
      <c r="I30" s="200" t="s">
        <v>33</v>
      </c>
      <c r="J30" s="199" t="s">
        <v>1286</v>
      </c>
      <c r="K30" s="199" t="s">
        <v>1285</v>
      </c>
      <c r="L30" s="513" t="s">
        <v>31</v>
      </c>
      <c r="N30" s="179"/>
      <c r="O30" s="228" t="s">
        <v>3407</v>
      </c>
      <c r="P30" s="180"/>
      <c r="Q30" s="180"/>
      <c r="R30" s="228"/>
      <c r="S30" s="282" t="s">
        <v>3408</v>
      </c>
      <c r="T30" s="180"/>
      <c r="U30" s="180"/>
      <c r="V30" s="180"/>
      <c r="W30" s="180"/>
      <c r="X30" s="213"/>
      <c r="Z30" s="179"/>
      <c r="AA30" s="228" t="s">
        <v>3407</v>
      </c>
      <c r="AB30" s="180"/>
      <c r="AC30" s="180"/>
      <c r="AD30" s="228"/>
      <c r="AE30" s="282" t="s">
        <v>3408</v>
      </c>
      <c r="AF30" s="180"/>
      <c r="AG30" s="180"/>
      <c r="AH30" s="180"/>
      <c r="AI30" s="180"/>
      <c r="AJ30" s="213"/>
      <c r="AL30" s="179"/>
      <c r="AM30" s="228" t="s">
        <v>3407</v>
      </c>
      <c r="AN30" s="180"/>
      <c r="AO30" s="180"/>
      <c r="AP30" s="228"/>
      <c r="AQ30" s="282" t="s">
        <v>3408</v>
      </c>
      <c r="AR30" s="180"/>
      <c r="AS30" s="180"/>
      <c r="AT30" s="180"/>
      <c r="AU30" s="180"/>
      <c r="AV30" s="213"/>
    </row>
    <row r="31" spans="2:48" ht="12" customHeight="1" x14ac:dyDescent="0.2">
      <c r="B31" s="179">
        <v>1</v>
      </c>
      <c r="C31" s="469" t="str">
        <f>DuctsI!F4</f>
        <v>R8</v>
      </c>
      <c r="D31" s="180"/>
      <c r="E31" s="228"/>
      <c r="F31" s="282" t="s">
        <v>3409</v>
      </c>
      <c r="G31" s="571">
        <f>DuctsT!D23</f>
        <v>0</v>
      </c>
      <c r="H31" s="208"/>
      <c r="I31" s="187" t="s">
        <v>32</v>
      </c>
      <c r="J31" s="855">
        <v>3000</v>
      </c>
      <c r="K31" s="855">
        <v>6000</v>
      </c>
      <c r="L31" s="855">
        <v>3834</v>
      </c>
      <c r="N31" s="179">
        <v>1</v>
      </c>
      <c r="O31" s="469"/>
      <c r="P31" s="180"/>
      <c r="Q31" s="228"/>
      <c r="R31" s="282" t="s">
        <v>3409</v>
      </c>
      <c r="S31" s="571"/>
      <c r="T31" s="180" t="s">
        <v>3410</v>
      </c>
      <c r="U31" s="180"/>
      <c r="V31" s="180"/>
      <c r="W31" s="180"/>
      <c r="X31" s="213"/>
      <c r="Z31" s="179">
        <v>1</v>
      </c>
      <c r="AA31" s="469"/>
      <c r="AB31" s="180"/>
      <c r="AC31" s="228"/>
      <c r="AD31" s="282" t="s">
        <v>3409</v>
      </c>
      <c r="AE31" s="571"/>
      <c r="AF31" s="180" t="s">
        <v>3410</v>
      </c>
      <c r="AG31" s="180"/>
      <c r="AH31" s="180"/>
      <c r="AI31" s="180"/>
      <c r="AJ31" s="213"/>
      <c r="AL31" s="179">
        <v>1</v>
      </c>
      <c r="AM31" s="469"/>
      <c r="AN31" s="180"/>
      <c r="AO31" s="228"/>
      <c r="AP31" s="282" t="s">
        <v>3409</v>
      </c>
      <c r="AQ31" s="571"/>
      <c r="AR31" s="180" t="s">
        <v>3410</v>
      </c>
      <c r="AS31" s="180"/>
      <c r="AT31" s="180"/>
      <c r="AU31" s="180"/>
      <c r="AV31" s="213"/>
    </row>
    <row r="32" spans="2:48" ht="12" customHeight="1" x14ac:dyDescent="0.2">
      <c r="B32" s="179">
        <v>2</v>
      </c>
      <c r="C32" s="468" t="s">
        <v>3411</v>
      </c>
      <c r="D32" s="180"/>
      <c r="E32" s="228"/>
      <c r="F32" s="282" t="s">
        <v>3412</v>
      </c>
      <c r="G32" s="571" t="e">
        <f>DuctsT!W24</f>
        <v>#DIV/0!</v>
      </c>
      <c r="H32" s="711"/>
      <c r="I32" s="854">
        <v>30</v>
      </c>
      <c r="J32" s="871">
        <v>1808</v>
      </c>
      <c r="K32" s="871">
        <v>3942</v>
      </c>
      <c r="L32" s="470">
        <f>J32+(K32-J32)*(L$31-J$31)/(K$31-J$31)</f>
        <v>2401.252</v>
      </c>
      <c r="N32" s="179">
        <v>2</v>
      </c>
      <c r="O32" s="468" t="s">
        <v>3411</v>
      </c>
      <c r="P32" s="180"/>
      <c r="Q32" s="228"/>
      <c r="R32" s="282" t="s">
        <v>3412</v>
      </c>
      <c r="S32" s="571"/>
      <c r="T32" s="180"/>
      <c r="U32" s="180"/>
      <c r="V32" s="180"/>
      <c r="W32" s="180"/>
      <c r="X32" s="213"/>
      <c r="Z32" s="179">
        <v>2</v>
      </c>
      <c r="AA32" s="468" t="s">
        <v>3411</v>
      </c>
      <c r="AB32" s="180"/>
      <c r="AC32" s="228"/>
      <c r="AD32" s="282" t="s">
        <v>3412</v>
      </c>
      <c r="AE32" s="571"/>
      <c r="AF32" s="180"/>
      <c r="AG32" s="180"/>
      <c r="AH32" s="180"/>
      <c r="AI32" s="180"/>
      <c r="AJ32" s="213"/>
      <c r="AL32" s="179">
        <v>2</v>
      </c>
      <c r="AM32" s="468" t="s">
        <v>3411</v>
      </c>
      <c r="AN32" s="180"/>
      <c r="AO32" s="228"/>
      <c r="AP32" s="282" t="s">
        <v>3412</v>
      </c>
      <c r="AQ32" s="571"/>
      <c r="AR32" s="180"/>
      <c r="AS32" s="180"/>
      <c r="AT32" s="180"/>
      <c r="AU32" s="180"/>
      <c r="AV32" s="213"/>
    </row>
    <row r="33" spans="2:48" ht="12" customHeight="1" x14ac:dyDescent="0.2">
      <c r="B33" s="179">
        <v>3</v>
      </c>
      <c r="C33" s="467" t="str">
        <f>DuctsT!T33</f>
        <v>0.12 / 0.24</v>
      </c>
      <c r="D33" s="180"/>
      <c r="E33" s="228"/>
      <c r="F33" s="282" t="s">
        <v>2813</v>
      </c>
      <c r="G33" s="493">
        <f>IF('Form N1'!P5&lt;0,0,DuctsT!AJ17)</f>
        <v>0</v>
      </c>
      <c r="H33" s="208"/>
      <c r="I33" s="854">
        <v>40</v>
      </c>
      <c r="J33" s="871">
        <v>2307</v>
      </c>
      <c r="K33" s="871">
        <v>5027</v>
      </c>
      <c r="L33" s="470">
        <f>J33+(K33-J33)*(L$31-J$31)/(K$31-J$31)</f>
        <v>3063.16</v>
      </c>
      <c r="N33" s="179">
        <v>3</v>
      </c>
      <c r="O33" s="467"/>
      <c r="P33" s="180"/>
      <c r="Q33" s="228"/>
      <c r="R33" s="282" t="s">
        <v>2813</v>
      </c>
      <c r="S33" s="493"/>
      <c r="T33" s="180" t="s">
        <v>3410</v>
      </c>
      <c r="U33" s="180"/>
      <c r="V33" s="180"/>
      <c r="W33" s="180"/>
      <c r="X33" s="213"/>
      <c r="Z33" s="179">
        <v>3</v>
      </c>
      <c r="AA33" s="467"/>
      <c r="AB33" s="180"/>
      <c r="AC33" s="228"/>
      <c r="AD33" s="282" t="s">
        <v>2813</v>
      </c>
      <c r="AE33" s="493"/>
      <c r="AF33" s="180" t="s">
        <v>3410</v>
      </c>
      <c r="AG33" s="180"/>
      <c r="AH33" s="180"/>
      <c r="AI33" s="180"/>
      <c r="AJ33" s="213"/>
      <c r="AL33" s="179">
        <v>3</v>
      </c>
      <c r="AM33" s="467"/>
      <c r="AN33" s="180"/>
      <c r="AO33" s="228"/>
      <c r="AP33" s="282" t="s">
        <v>2813</v>
      </c>
      <c r="AQ33" s="493"/>
      <c r="AR33" s="180" t="s">
        <v>3410</v>
      </c>
      <c r="AS33" s="180"/>
      <c r="AT33" s="180"/>
      <c r="AU33" s="180"/>
      <c r="AV33" s="213"/>
    </row>
    <row r="34" spans="2:48" ht="8.1" customHeight="1" x14ac:dyDescent="0.2">
      <c r="B34" s="252"/>
      <c r="C34" s="217"/>
      <c r="D34" s="208"/>
      <c r="E34" s="561"/>
      <c r="F34" s="561"/>
      <c r="G34" s="475"/>
      <c r="H34" s="208"/>
      <c r="I34" s="711"/>
      <c r="J34" s="711"/>
      <c r="K34" s="711"/>
      <c r="L34" s="712"/>
      <c r="N34" s="252"/>
      <c r="O34" s="208"/>
      <c r="P34" s="208"/>
      <c r="Q34" s="561"/>
      <c r="R34" s="561"/>
      <c r="S34" s="611"/>
      <c r="T34" s="208"/>
      <c r="U34" s="208"/>
      <c r="V34" s="208"/>
      <c r="W34" s="560"/>
      <c r="X34" s="562"/>
      <c r="Z34" s="252"/>
      <c r="AA34" s="208"/>
      <c r="AB34" s="208"/>
      <c r="AC34" s="561"/>
      <c r="AD34" s="561"/>
      <c r="AE34" s="611"/>
      <c r="AF34" s="208"/>
      <c r="AG34" s="208"/>
      <c r="AH34" s="208"/>
      <c r="AI34" s="560"/>
      <c r="AJ34" s="562"/>
      <c r="AL34" s="252"/>
      <c r="AM34" s="208"/>
      <c r="AN34" s="208"/>
      <c r="AO34" s="561"/>
      <c r="AP34" s="561"/>
      <c r="AQ34" s="611"/>
      <c r="AR34" s="208"/>
      <c r="AS34" s="208"/>
      <c r="AT34" s="208"/>
      <c r="AU34" s="560"/>
      <c r="AV34" s="562"/>
    </row>
    <row r="35" spans="2:48" ht="12" customHeight="1" x14ac:dyDescent="0.2">
      <c r="B35" s="179" t="s">
        <v>2814</v>
      </c>
      <c r="C35" s="180"/>
      <c r="D35" s="180"/>
      <c r="E35" s="180"/>
      <c r="F35" s="180"/>
      <c r="G35" s="476"/>
      <c r="H35" s="208"/>
      <c r="I35" s="711" t="s">
        <v>34</v>
      </c>
      <c r="L35" s="776"/>
      <c r="N35" s="179" t="s">
        <v>2814</v>
      </c>
      <c r="O35" s="180"/>
      <c r="P35" s="180"/>
      <c r="Q35" s="180"/>
      <c r="R35" s="180"/>
      <c r="S35" s="476"/>
      <c r="T35" s="180"/>
      <c r="U35" s="180"/>
      <c r="V35" s="180"/>
      <c r="W35" s="180"/>
      <c r="X35" s="213"/>
      <c r="Z35" s="179" t="s">
        <v>2814</v>
      </c>
      <c r="AA35" s="180"/>
      <c r="AB35" s="180"/>
      <c r="AC35" s="180"/>
      <c r="AD35" s="180"/>
      <c r="AE35" s="476"/>
      <c r="AF35" s="180"/>
      <c r="AG35" s="180"/>
      <c r="AH35" s="180"/>
      <c r="AI35" s="180"/>
      <c r="AJ35" s="213"/>
      <c r="AL35" s="179" t="s">
        <v>2814</v>
      </c>
      <c r="AM35" s="180"/>
      <c r="AN35" s="180"/>
      <c r="AO35" s="180"/>
      <c r="AP35" s="180"/>
      <c r="AQ35" s="476"/>
      <c r="AR35" s="180"/>
      <c r="AS35" s="180"/>
      <c r="AT35" s="180"/>
      <c r="AU35" s="180"/>
      <c r="AV35" s="213"/>
    </row>
    <row r="36" spans="2:48" ht="12" customHeight="1" x14ac:dyDescent="0.2">
      <c r="B36" s="179"/>
      <c r="C36" s="180"/>
      <c r="D36" s="180"/>
      <c r="E36" s="180"/>
      <c r="F36" s="180"/>
      <c r="G36" s="476"/>
      <c r="H36" s="208"/>
      <c r="I36" s="854">
        <v>35</v>
      </c>
      <c r="K36" s="813" t="s">
        <v>1283</v>
      </c>
      <c r="L36" s="814">
        <f>L32+(L33-L32)*(I36-I32)/(I33-I32)</f>
        <v>2732.2060000000001</v>
      </c>
      <c r="N36" s="179"/>
      <c r="O36" s="180"/>
      <c r="P36" s="180"/>
      <c r="Q36" s="180"/>
      <c r="R36" s="180"/>
      <c r="S36" s="476"/>
      <c r="T36" s="180"/>
      <c r="U36" s="180"/>
      <c r="V36" s="180"/>
      <c r="W36" s="180"/>
      <c r="X36" s="213"/>
      <c r="Z36" s="179"/>
      <c r="AA36" s="180"/>
      <c r="AB36" s="180"/>
      <c r="AC36" s="180"/>
      <c r="AD36" s="180"/>
      <c r="AE36" s="476"/>
      <c r="AF36" s="180"/>
      <c r="AG36" s="180"/>
      <c r="AH36" s="180"/>
      <c r="AI36" s="180"/>
      <c r="AJ36" s="213"/>
      <c r="AL36" s="179"/>
      <c r="AM36" s="180"/>
      <c r="AN36" s="180"/>
      <c r="AO36" s="180"/>
      <c r="AP36" s="180"/>
      <c r="AQ36" s="476"/>
      <c r="AR36" s="180"/>
      <c r="AS36" s="180"/>
      <c r="AT36" s="180"/>
      <c r="AU36" s="180"/>
      <c r="AV36" s="213"/>
    </row>
    <row r="37" spans="2:48" ht="12" customHeight="1" x14ac:dyDescent="0.2">
      <c r="B37" s="179">
        <v>4</v>
      </c>
      <c r="C37" s="180"/>
      <c r="D37" s="180"/>
      <c r="E37" s="180"/>
      <c r="F37" s="180" t="s">
        <v>2815</v>
      </c>
      <c r="G37" s="467" t="e">
        <f>DuctsT!E26</f>
        <v>#N/A</v>
      </c>
      <c r="H37" s="208"/>
      <c r="I37" s="711"/>
      <c r="J37" s="711"/>
      <c r="K37" s="711"/>
      <c r="L37" s="775"/>
      <c r="N37" s="179">
        <v>4</v>
      </c>
      <c r="O37" s="180"/>
      <c r="P37" s="180"/>
      <c r="Q37" s="180"/>
      <c r="R37" s="180" t="s">
        <v>2815</v>
      </c>
      <c r="S37" s="467"/>
      <c r="T37" s="180"/>
      <c r="U37" s="180"/>
      <c r="V37" s="180"/>
      <c r="W37" s="180"/>
      <c r="X37" s="213"/>
      <c r="Z37" s="179">
        <v>4</v>
      </c>
      <c r="AA37" s="180"/>
      <c r="AB37" s="180"/>
      <c r="AC37" s="180"/>
      <c r="AD37" s="180" t="s">
        <v>2815</v>
      </c>
      <c r="AE37" s="467"/>
      <c r="AF37" s="180"/>
      <c r="AG37" s="180"/>
      <c r="AH37" s="180"/>
      <c r="AI37" s="180"/>
      <c r="AJ37" s="213"/>
      <c r="AL37" s="179">
        <v>4</v>
      </c>
      <c r="AM37" s="180"/>
      <c r="AN37" s="180"/>
      <c r="AO37" s="180"/>
      <c r="AP37" s="180" t="s">
        <v>2815</v>
      </c>
      <c r="AQ37" s="467"/>
      <c r="AR37" s="180"/>
      <c r="AS37" s="180"/>
      <c r="AT37" s="180"/>
      <c r="AU37" s="180"/>
      <c r="AV37" s="213"/>
    </row>
    <row r="38" spans="2:48" ht="12" customHeight="1" x14ac:dyDescent="0.2">
      <c r="B38" s="179">
        <v>5</v>
      </c>
      <c r="C38" s="180"/>
      <c r="D38" s="180"/>
      <c r="E38" s="180"/>
      <c r="F38" s="180" t="s">
        <v>2816</v>
      </c>
      <c r="G38" s="467" t="e">
        <f>DuctsT!L26</f>
        <v>#N/A</v>
      </c>
      <c r="H38" s="208"/>
      <c r="J38" s="1956" t="s">
        <v>1286</v>
      </c>
      <c r="K38" s="1956" t="s">
        <v>1285</v>
      </c>
      <c r="L38" s="1958" t="s">
        <v>15</v>
      </c>
      <c r="N38" s="179">
        <v>5</v>
      </c>
      <c r="O38" s="180"/>
      <c r="P38" s="180"/>
      <c r="Q38" s="180"/>
      <c r="R38" s="180" t="s">
        <v>2816</v>
      </c>
      <c r="S38" s="467"/>
      <c r="T38" s="180"/>
      <c r="U38" s="180"/>
      <c r="V38" s="180"/>
      <c r="W38" s="180"/>
      <c r="X38" s="213"/>
      <c r="Z38" s="179">
        <v>5</v>
      </c>
      <c r="AA38" s="180"/>
      <c r="AB38" s="180"/>
      <c r="AC38" s="180"/>
      <c r="AD38" s="180" t="s">
        <v>2816</v>
      </c>
      <c r="AE38" s="467"/>
      <c r="AF38" s="180"/>
      <c r="AG38" s="180"/>
      <c r="AH38" s="180"/>
      <c r="AI38" s="180"/>
      <c r="AJ38" s="213"/>
      <c r="AL38" s="179">
        <v>5</v>
      </c>
      <c r="AM38" s="180"/>
      <c r="AN38" s="180"/>
      <c r="AO38" s="180"/>
      <c r="AP38" s="180" t="s">
        <v>2816</v>
      </c>
      <c r="AQ38" s="467"/>
      <c r="AR38" s="180"/>
      <c r="AS38" s="180"/>
      <c r="AT38" s="180"/>
      <c r="AU38" s="180"/>
      <c r="AV38" s="213"/>
    </row>
    <row r="39" spans="2:48" ht="8.1" customHeight="1" x14ac:dyDescent="0.2">
      <c r="B39" s="252"/>
      <c r="C39" s="208"/>
      <c r="D39" s="208"/>
      <c r="E39" s="561"/>
      <c r="F39" s="561"/>
      <c r="G39" s="475"/>
      <c r="H39" s="208"/>
      <c r="I39" s="711"/>
      <c r="J39" s="1957"/>
      <c r="K39" s="1957"/>
      <c r="L39" s="1957"/>
      <c r="N39" s="252"/>
      <c r="O39" s="208"/>
      <c r="P39" s="208"/>
      <c r="Q39" s="561"/>
      <c r="R39" s="561"/>
      <c r="S39" s="611"/>
      <c r="T39" s="208"/>
      <c r="U39" s="208"/>
      <c r="V39" s="208"/>
      <c r="W39" s="560"/>
      <c r="X39" s="562"/>
      <c r="Z39" s="252"/>
      <c r="AA39" s="208"/>
      <c r="AB39" s="208"/>
      <c r="AC39" s="561"/>
      <c r="AD39" s="561"/>
      <c r="AE39" s="611"/>
      <c r="AF39" s="208"/>
      <c r="AG39" s="208"/>
      <c r="AH39" s="208"/>
      <c r="AI39" s="560"/>
      <c r="AJ39" s="562"/>
      <c r="AL39" s="252"/>
      <c r="AM39" s="208"/>
      <c r="AN39" s="208"/>
      <c r="AO39" s="561"/>
      <c r="AP39" s="561"/>
      <c r="AQ39" s="611"/>
      <c r="AR39" s="208"/>
      <c r="AS39" s="208"/>
      <c r="AT39" s="208"/>
      <c r="AU39" s="560"/>
      <c r="AV39" s="562"/>
    </row>
    <row r="40" spans="2:48" ht="12" customHeight="1" x14ac:dyDescent="0.2">
      <c r="B40" s="179" t="s">
        <v>2817</v>
      </c>
      <c r="C40" s="180"/>
      <c r="D40" s="180"/>
      <c r="E40" s="180"/>
      <c r="F40" s="180"/>
      <c r="G40" s="477"/>
      <c r="H40" s="208"/>
      <c r="I40" s="937" t="s">
        <v>1284</v>
      </c>
      <c r="J40" s="855">
        <v>646</v>
      </c>
      <c r="K40" s="855">
        <v>1397</v>
      </c>
      <c r="L40" s="782">
        <f>J40+(K40-J40)*(L$31-J$31)/(K$31-J$31)</f>
        <v>854.77800000000002</v>
      </c>
      <c r="N40" s="179" t="s">
        <v>2817</v>
      </c>
      <c r="O40" s="180"/>
      <c r="P40" s="180"/>
      <c r="Q40" s="180"/>
      <c r="R40" s="180"/>
      <c r="S40" s="477"/>
      <c r="T40" s="180"/>
      <c r="U40" s="180"/>
      <c r="V40" s="180"/>
      <c r="W40" s="180"/>
      <c r="X40" s="213"/>
      <c r="Z40" s="179" t="s">
        <v>2817</v>
      </c>
      <c r="AA40" s="180"/>
      <c r="AB40" s="180"/>
      <c r="AC40" s="180"/>
      <c r="AD40" s="180"/>
      <c r="AE40" s="477"/>
      <c r="AF40" s="180"/>
      <c r="AG40" s="180"/>
      <c r="AH40" s="180"/>
      <c r="AI40" s="180"/>
      <c r="AJ40" s="213"/>
      <c r="AL40" s="179" t="s">
        <v>2817</v>
      </c>
      <c r="AM40" s="180"/>
      <c r="AN40" s="180"/>
      <c r="AO40" s="180"/>
      <c r="AP40" s="180"/>
      <c r="AQ40" s="477"/>
      <c r="AR40" s="180"/>
      <c r="AS40" s="180"/>
      <c r="AT40" s="180"/>
      <c r="AU40" s="180"/>
      <c r="AV40" s="213"/>
    </row>
    <row r="41" spans="2:48" ht="12" customHeight="1" x14ac:dyDescent="0.2">
      <c r="B41" s="179">
        <v>6</v>
      </c>
      <c r="C41" s="180"/>
      <c r="D41" s="180"/>
      <c r="E41" s="180"/>
      <c r="F41" s="180" t="s">
        <v>2818</v>
      </c>
      <c r="G41" s="467" t="e">
        <f>DuctsT!G33</f>
        <v>#N/A</v>
      </c>
      <c r="H41" s="208"/>
      <c r="I41" s="937"/>
      <c r="L41" s="938" t="s">
        <v>16</v>
      </c>
      <c r="N41" s="179">
        <v>6</v>
      </c>
      <c r="O41" s="180"/>
      <c r="P41" s="180"/>
      <c r="Q41" s="180"/>
      <c r="R41" s="180" t="s">
        <v>2818</v>
      </c>
      <c r="S41" s="467"/>
      <c r="T41" s="180"/>
      <c r="U41" s="180"/>
      <c r="V41" s="180"/>
      <c r="W41" s="180"/>
      <c r="X41" s="213"/>
      <c r="Z41" s="179">
        <v>6</v>
      </c>
      <c r="AA41" s="180"/>
      <c r="AB41" s="180"/>
      <c r="AC41" s="180"/>
      <c r="AD41" s="180" t="s">
        <v>2818</v>
      </c>
      <c r="AE41" s="467"/>
      <c r="AF41" s="180"/>
      <c r="AG41" s="180"/>
      <c r="AH41" s="180"/>
      <c r="AI41" s="180"/>
      <c r="AJ41" s="213"/>
      <c r="AL41" s="179">
        <v>6</v>
      </c>
      <c r="AM41" s="180"/>
      <c r="AN41" s="180"/>
      <c r="AO41" s="180"/>
      <c r="AP41" s="180" t="s">
        <v>2818</v>
      </c>
      <c r="AQ41" s="467"/>
      <c r="AR41" s="180"/>
      <c r="AS41" s="180"/>
      <c r="AT41" s="180"/>
      <c r="AU41" s="180"/>
      <c r="AV41" s="213"/>
    </row>
    <row r="42" spans="2:48" ht="12" customHeight="1" x14ac:dyDescent="0.2">
      <c r="B42" s="179">
        <v>7</v>
      </c>
      <c r="C42" s="180"/>
      <c r="D42" s="180"/>
      <c r="E42" s="180"/>
      <c r="F42" s="180" t="s">
        <v>2819</v>
      </c>
      <c r="G42" s="467" t="e">
        <f>DuctsT!N33</f>
        <v>#N/A</v>
      </c>
      <c r="H42" s="208"/>
      <c r="I42" s="180"/>
      <c r="J42" s="180"/>
      <c r="K42" s="180"/>
      <c r="L42" s="946">
        <f>(L31&gt;K31)*(J40+(K40-J40)*(K$31-J$31)/(L$31-J$31))</f>
        <v>0</v>
      </c>
      <c r="N42" s="179">
        <v>7</v>
      </c>
      <c r="O42" s="180"/>
      <c r="P42" s="180"/>
      <c r="Q42" s="180"/>
      <c r="R42" s="180" t="s">
        <v>2819</v>
      </c>
      <c r="S42" s="467"/>
      <c r="T42" s="180"/>
      <c r="U42" s="180"/>
      <c r="V42" s="180"/>
      <c r="W42" s="180"/>
      <c r="X42" s="213"/>
      <c r="Z42" s="179">
        <v>7</v>
      </c>
      <c r="AA42" s="180"/>
      <c r="AB42" s="180"/>
      <c r="AC42" s="180"/>
      <c r="AD42" s="180" t="s">
        <v>2819</v>
      </c>
      <c r="AE42" s="467"/>
      <c r="AF42" s="180"/>
      <c r="AG42" s="180"/>
      <c r="AH42" s="180"/>
      <c r="AI42" s="180"/>
      <c r="AJ42" s="213"/>
      <c r="AL42" s="179">
        <v>7</v>
      </c>
      <c r="AM42" s="180"/>
      <c r="AN42" s="180"/>
      <c r="AO42" s="180"/>
      <c r="AP42" s="180" t="s">
        <v>2819</v>
      </c>
      <c r="AQ42" s="467"/>
      <c r="AR42" s="180"/>
      <c r="AS42" s="180"/>
      <c r="AT42" s="180"/>
      <c r="AU42" s="180"/>
      <c r="AV42" s="213"/>
    </row>
    <row r="43" spans="2:48" ht="12" customHeight="1" x14ac:dyDescent="0.2">
      <c r="B43" s="179">
        <v>8</v>
      </c>
      <c r="C43" s="180"/>
      <c r="D43" s="180"/>
      <c r="E43" s="180"/>
      <c r="F43" s="180" t="s">
        <v>2820</v>
      </c>
      <c r="G43" s="467" t="e">
        <f>DuctsT!AH33</f>
        <v>#N/A</v>
      </c>
      <c r="H43" s="208"/>
      <c r="I43" s="180"/>
      <c r="J43" s="180"/>
      <c r="K43" s="180"/>
      <c r="L43" s="777"/>
      <c r="N43" s="179">
        <v>8</v>
      </c>
      <c r="O43" s="180"/>
      <c r="P43" s="180"/>
      <c r="Q43" s="180"/>
      <c r="R43" s="180" t="s">
        <v>2820</v>
      </c>
      <c r="S43" s="467"/>
      <c r="T43" s="180"/>
      <c r="U43" s="180"/>
      <c r="V43" s="180"/>
      <c r="W43" s="180"/>
      <c r="X43" s="213"/>
      <c r="Z43" s="179">
        <v>8</v>
      </c>
      <c r="AA43" s="180"/>
      <c r="AB43" s="180"/>
      <c r="AC43" s="180"/>
      <c r="AD43" s="180" t="s">
        <v>2820</v>
      </c>
      <c r="AE43" s="467"/>
      <c r="AF43" s="180"/>
      <c r="AG43" s="180"/>
      <c r="AH43" s="180"/>
      <c r="AI43" s="180"/>
      <c r="AJ43" s="213"/>
      <c r="AL43" s="179">
        <v>8</v>
      </c>
      <c r="AM43" s="180"/>
      <c r="AN43" s="180"/>
      <c r="AO43" s="180"/>
      <c r="AP43" s="180" t="s">
        <v>2820</v>
      </c>
      <c r="AQ43" s="467"/>
      <c r="AR43" s="180"/>
      <c r="AS43" s="180"/>
      <c r="AT43" s="180"/>
      <c r="AU43" s="180"/>
      <c r="AV43" s="213"/>
    </row>
    <row r="44" spans="2:48" ht="8.1" customHeight="1" x14ac:dyDescent="0.2">
      <c r="B44" s="252"/>
      <c r="C44" s="208"/>
      <c r="D44" s="208"/>
      <c r="E44" s="561"/>
      <c r="F44" s="561"/>
      <c r="G44" s="611"/>
      <c r="L44" s="213"/>
      <c r="N44" s="252"/>
      <c r="O44" s="208"/>
      <c r="P44" s="208"/>
      <c r="Q44" s="561"/>
      <c r="R44" s="561"/>
      <c r="S44" s="611"/>
      <c r="T44" s="208"/>
      <c r="U44" s="208"/>
      <c r="V44" s="208"/>
      <c r="W44" s="560"/>
      <c r="X44" s="562"/>
      <c r="Z44" s="252"/>
      <c r="AA44" s="208"/>
      <c r="AB44" s="208"/>
      <c r="AC44" s="561"/>
      <c r="AD44" s="561"/>
      <c r="AE44" s="611"/>
      <c r="AF44" s="208"/>
      <c r="AG44" s="208"/>
      <c r="AH44" s="208"/>
      <c r="AI44" s="560"/>
      <c r="AJ44" s="562"/>
      <c r="AL44" s="252"/>
      <c r="AM44" s="208"/>
      <c r="AN44" s="208"/>
      <c r="AO44" s="561"/>
      <c r="AP44" s="561"/>
      <c r="AQ44" s="611"/>
      <c r="AR44" s="208"/>
      <c r="AS44" s="208"/>
      <c r="AT44" s="208"/>
      <c r="AU44" s="560"/>
      <c r="AV44" s="562"/>
    </row>
    <row r="45" spans="2:48" ht="12" customHeight="1" x14ac:dyDescent="0.2">
      <c r="B45" s="179" t="s">
        <v>2821</v>
      </c>
      <c r="C45" s="180"/>
      <c r="D45" s="180"/>
      <c r="E45" s="180"/>
      <c r="F45" s="180"/>
      <c r="G45" s="478"/>
      <c r="H45" s="180"/>
      <c r="I45" s="180"/>
      <c r="J45" s="180"/>
      <c r="K45" s="180"/>
      <c r="L45" s="213"/>
      <c r="N45" s="179" t="s">
        <v>2821</v>
      </c>
      <c r="O45" s="180"/>
      <c r="P45" s="180"/>
      <c r="Q45" s="180"/>
      <c r="R45" s="180"/>
      <c r="S45" s="478"/>
      <c r="T45" s="180"/>
      <c r="U45" s="180"/>
      <c r="V45" s="180"/>
      <c r="W45" s="180"/>
      <c r="X45" s="213"/>
      <c r="Z45" s="179" t="s">
        <v>2821</v>
      </c>
      <c r="AA45" s="180"/>
      <c r="AB45" s="180"/>
      <c r="AC45" s="180"/>
      <c r="AD45" s="180"/>
      <c r="AE45" s="478"/>
      <c r="AF45" s="180"/>
      <c r="AG45" s="180"/>
      <c r="AH45" s="180"/>
      <c r="AI45" s="180"/>
      <c r="AJ45" s="213"/>
      <c r="AL45" s="179" t="s">
        <v>2821</v>
      </c>
      <c r="AM45" s="180"/>
      <c r="AN45" s="180"/>
      <c r="AO45" s="180"/>
      <c r="AP45" s="180"/>
      <c r="AQ45" s="478"/>
      <c r="AR45" s="180"/>
      <c r="AS45" s="180"/>
      <c r="AT45" s="180"/>
      <c r="AU45" s="180"/>
      <c r="AV45" s="213"/>
    </row>
    <row r="46" spans="2:48" ht="12" customHeight="1" x14ac:dyDescent="0.2">
      <c r="B46" s="179"/>
      <c r="C46" s="180"/>
      <c r="D46" s="180"/>
      <c r="E46" s="180"/>
      <c r="F46" s="180"/>
      <c r="G46" s="478" t="s">
        <v>2822</v>
      </c>
      <c r="H46" s="180"/>
      <c r="I46" s="180"/>
      <c r="J46" s="180"/>
      <c r="K46" s="180"/>
      <c r="L46" s="213" t="s">
        <v>2823</v>
      </c>
      <c r="N46" s="179"/>
      <c r="O46" s="180"/>
      <c r="P46" s="180"/>
      <c r="Q46" s="180"/>
      <c r="R46" s="180"/>
      <c r="S46" s="478" t="s">
        <v>2822</v>
      </c>
      <c r="T46" s="180"/>
      <c r="U46" s="180"/>
      <c r="V46" s="180"/>
      <c r="W46" s="180"/>
      <c r="X46" s="213" t="s">
        <v>2823</v>
      </c>
      <c r="Z46" s="179"/>
      <c r="AA46" s="180"/>
      <c r="AB46" s="180"/>
      <c r="AC46" s="180"/>
      <c r="AD46" s="180"/>
      <c r="AE46" s="478" t="s">
        <v>2822</v>
      </c>
      <c r="AF46" s="180"/>
      <c r="AG46" s="180"/>
      <c r="AH46" s="180"/>
      <c r="AI46" s="180"/>
      <c r="AJ46" s="213" t="s">
        <v>2823</v>
      </c>
      <c r="AL46" s="179"/>
      <c r="AM46" s="180"/>
      <c r="AN46" s="180"/>
      <c r="AO46" s="180"/>
      <c r="AP46" s="180"/>
      <c r="AQ46" s="478" t="s">
        <v>2822</v>
      </c>
      <c r="AR46" s="180"/>
      <c r="AS46" s="180"/>
      <c r="AT46" s="180"/>
      <c r="AU46" s="180"/>
      <c r="AV46" s="213" t="s">
        <v>2823</v>
      </c>
    </row>
    <row r="47" spans="2:48" ht="12" customHeight="1" x14ac:dyDescent="0.2">
      <c r="B47" s="179">
        <v>9</v>
      </c>
      <c r="C47" s="180"/>
      <c r="D47" s="180"/>
      <c r="E47" s="180"/>
      <c r="F47" s="282" t="s">
        <v>2824</v>
      </c>
      <c r="G47" s="571" t="e">
        <f>DuctsT!W45</f>
        <v>#N/A</v>
      </c>
      <c r="H47" s="180"/>
      <c r="I47" s="180"/>
      <c r="J47" s="180"/>
      <c r="K47" s="282" t="s">
        <v>2825</v>
      </c>
      <c r="L47" s="470" t="e">
        <f>1-G47</f>
        <v>#N/A</v>
      </c>
      <c r="N47" s="179">
        <v>9</v>
      </c>
      <c r="O47" s="180"/>
      <c r="P47" s="180"/>
      <c r="Q47" s="180"/>
      <c r="R47" s="282" t="s">
        <v>2824</v>
      </c>
      <c r="S47" s="571"/>
      <c r="T47" s="180"/>
      <c r="U47" s="180"/>
      <c r="V47" s="180"/>
      <c r="W47" s="282" t="s">
        <v>2825</v>
      </c>
      <c r="X47" s="470">
        <f>1-S47</f>
        <v>1</v>
      </c>
      <c r="Z47" s="179">
        <v>9</v>
      </c>
      <c r="AA47" s="180"/>
      <c r="AB47" s="180"/>
      <c r="AC47" s="180"/>
      <c r="AD47" s="282" t="s">
        <v>2824</v>
      </c>
      <c r="AE47" s="571"/>
      <c r="AF47" s="180"/>
      <c r="AG47" s="180"/>
      <c r="AH47" s="180"/>
      <c r="AI47" s="282" t="s">
        <v>2825</v>
      </c>
      <c r="AJ47" s="470">
        <f>1-AE47</f>
        <v>1</v>
      </c>
      <c r="AL47" s="179">
        <v>9</v>
      </c>
      <c r="AM47" s="180"/>
      <c r="AN47" s="180"/>
      <c r="AO47" s="180"/>
      <c r="AP47" s="282" t="s">
        <v>2824</v>
      </c>
      <c r="AQ47" s="571"/>
      <c r="AR47" s="180"/>
      <c r="AS47" s="180"/>
      <c r="AT47" s="180"/>
      <c r="AU47" s="282" t="s">
        <v>2825</v>
      </c>
      <c r="AV47" s="501">
        <f>1-AQ47</f>
        <v>1</v>
      </c>
    </row>
    <row r="48" spans="2:48" ht="12" customHeight="1" x14ac:dyDescent="0.2">
      <c r="B48" s="179"/>
      <c r="C48" s="180"/>
      <c r="D48" s="180"/>
      <c r="E48" s="180"/>
      <c r="F48" s="180"/>
      <c r="G48" s="228"/>
      <c r="H48" s="180"/>
      <c r="I48" s="180"/>
      <c r="J48" s="180"/>
      <c r="K48" s="180"/>
      <c r="L48" s="213"/>
      <c r="N48" s="179"/>
      <c r="O48" s="180"/>
      <c r="P48" s="180"/>
      <c r="Q48" s="180"/>
      <c r="R48" s="180"/>
      <c r="S48" s="228"/>
      <c r="T48" s="180"/>
      <c r="U48" s="180"/>
      <c r="V48" s="180"/>
      <c r="W48" s="180"/>
      <c r="X48" s="213"/>
      <c r="Z48" s="179"/>
      <c r="AA48" s="180"/>
      <c r="AB48" s="180"/>
      <c r="AC48" s="180"/>
      <c r="AD48" s="180"/>
      <c r="AE48" s="228"/>
      <c r="AF48" s="180"/>
      <c r="AG48" s="180"/>
      <c r="AH48" s="180"/>
      <c r="AI48" s="180"/>
      <c r="AJ48" s="213"/>
      <c r="AL48" s="179"/>
      <c r="AM48" s="180"/>
      <c r="AN48" s="180"/>
      <c r="AO48" s="180"/>
      <c r="AP48" s="180"/>
      <c r="AQ48" s="228"/>
      <c r="AR48" s="180"/>
      <c r="AS48" s="180"/>
      <c r="AT48" s="180"/>
      <c r="AU48" s="180"/>
      <c r="AV48" s="213"/>
    </row>
    <row r="49" spans="2:48" ht="12" customHeight="1" x14ac:dyDescent="0.2">
      <c r="B49" s="179">
        <v>10</v>
      </c>
      <c r="C49" s="180"/>
      <c r="D49" s="180"/>
      <c r="E49" s="180"/>
      <c r="F49" s="282" t="s">
        <v>4158</v>
      </c>
      <c r="G49" s="469" t="e">
        <f>IF(DuctsI!R5="T",G50,DuctsI!R5)</f>
        <v>#DIV/0!</v>
      </c>
      <c r="H49" s="180"/>
      <c r="I49" s="180"/>
      <c r="J49" s="180"/>
      <c r="K49" s="282" t="s">
        <v>4159</v>
      </c>
      <c r="L49" s="469" t="e">
        <f>IF(DuctsI!R6="T",L50,DuctsI!R6)</f>
        <v>#DIV/0!</v>
      </c>
      <c r="N49" s="179">
        <v>10</v>
      </c>
      <c r="O49" s="180"/>
      <c r="P49" s="180"/>
      <c r="Q49" s="180"/>
      <c r="R49" s="282" t="s">
        <v>4158</v>
      </c>
      <c r="S49" s="469"/>
      <c r="T49" s="180"/>
      <c r="U49" s="180"/>
      <c r="V49" s="180"/>
      <c r="W49" s="282" t="s">
        <v>4159</v>
      </c>
      <c r="X49" s="469"/>
      <c r="Z49" s="179">
        <v>10</v>
      </c>
      <c r="AA49" s="180"/>
      <c r="AB49" s="180"/>
      <c r="AC49" s="180"/>
      <c r="AD49" s="282" t="s">
        <v>4158</v>
      </c>
      <c r="AE49" s="469"/>
      <c r="AF49" s="180"/>
      <c r="AG49" s="180"/>
      <c r="AH49" s="180"/>
      <c r="AI49" s="282" t="s">
        <v>4159</v>
      </c>
      <c r="AJ49" s="469"/>
      <c r="AL49" s="179">
        <v>10</v>
      </c>
      <c r="AM49" s="180"/>
      <c r="AN49" s="180"/>
      <c r="AO49" s="180"/>
      <c r="AP49" s="282" t="s">
        <v>4158</v>
      </c>
      <c r="AQ49" s="469"/>
      <c r="AR49" s="180"/>
      <c r="AS49" s="180"/>
      <c r="AT49" s="180"/>
      <c r="AU49" s="282" t="s">
        <v>4159</v>
      </c>
      <c r="AV49" s="469"/>
    </row>
    <row r="50" spans="2:48" ht="12" customHeight="1" x14ac:dyDescent="0.2">
      <c r="B50" s="179">
        <v>11</v>
      </c>
      <c r="C50" s="180"/>
      <c r="D50" s="180"/>
      <c r="E50" s="180"/>
      <c r="F50" s="282" t="s">
        <v>4160</v>
      </c>
      <c r="G50" s="469" t="e">
        <f>DuctsT!B45</f>
        <v>#DIV/0!</v>
      </c>
      <c r="H50" s="180"/>
      <c r="I50" s="180"/>
      <c r="J50" s="180"/>
      <c r="K50" s="282" t="s">
        <v>4161</v>
      </c>
      <c r="L50" s="469" t="e">
        <f>DuctsT!B50</f>
        <v>#DIV/0!</v>
      </c>
      <c r="N50" s="179">
        <v>11</v>
      </c>
      <c r="O50" s="180"/>
      <c r="P50" s="180"/>
      <c r="Q50" s="180"/>
      <c r="R50" s="282" t="s">
        <v>4160</v>
      </c>
      <c r="S50" s="469"/>
      <c r="T50" s="180"/>
      <c r="U50" s="180"/>
      <c r="V50" s="180"/>
      <c r="W50" s="282" t="s">
        <v>4161</v>
      </c>
      <c r="X50" s="469"/>
      <c r="Z50" s="179">
        <v>11</v>
      </c>
      <c r="AA50" s="180"/>
      <c r="AB50" s="180"/>
      <c r="AC50" s="180"/>
      <c r="AD50" s="282" t="s">
        <v>4160</v>
      </c>
      <c r="AE50" s="469"/>
      <c r="AF50" s="180"/>
      <c r="AG50" s="180"/>
      <c r="AH50" s="180"/>
      <c r="AI50" s="282" t="s">
        <v>4161</v>
      </c>
      <c r="AJ50" s="469"/>
      <c r="AL50" s="179">
        <v>11</v>
      </c>
      <c r="AM50" s="180"/>
      <c r="AN50" s="180"/>
      <c r="AO50" s="180"/>
      <c r="AP50" s="282" t="s">
        <v>4160</v>
      </c>
      <c r="AQ50" s="469"/>
      <c r="AR50" s="180"/>
      <c r="AS50" s="180"/>
      <c r="AT50" s="180"/>
      <c r="AU50" s="282" t="s">
        <v>4161</v>
      </c>
      <c r="AV50" s="469"/>
    </row>
    <row r="51" spans="2:48" ht="12" customHeight="1" x14ac:dyDescent="0.2">
      <c r="B51" s="179">
        <v>12</v>
      </c>
      <c r="C51" s="180"/>
      <c r="D51" s="180"/>
      <c r="E51" s="180"/>
      <c r="F51" s="282" t="s">
        <v>3617</v>
      </c>
      <c r="G51" s="470" t="e">
        <f>IF((G49+G50)=0,1,G49/G50)</f>
        <v>#DIV/0!</v>
      </c>
      <c r="H51" s="180"/>
      <c r="I51" s="180"/>
      <c r="J51" s="180"/>
      <c r="K51" s="282" t="s">
        <v>3619</v>
      </c>
      <c r="L51" s="470" t="e">
        <f>IF((L49+L50)=0,1,L49/L50)</f>
        <v>#DIV/0!</v>
      </c>
      <c r="N51" s="179">
        <v>12</v>
      </c>
      <c r="O51" s="180"/>
      <c r="P51" s="180"/>
      <c r="Q51" s="180"/>
      <c r="R51" s="282" t="s">
        <v>3617</v>
      </c>
      <c r="S51" s="470">
        <f>IF((S49+S50)=0,1,S49/S50)</f>
        <v>1</v>
      </c>
      <c r="T51" s="180"/>
      <c r="U51" s="180"/>
      <c r="V51" s="180"/>
      <c r="W51" s="282" t="s">
        <v>3619</v>
      </c>
      <c r="X51" s="470">
        <f>IF((X49+X50)=0,1,X49/X50)</f>
        <v>1</v>
      </c>
      <c r="Z51" s="179">
        <v>12</v>
      </c>
      <c r="AA51" s="180"/>
      <c r="AB51" s="180"/>
      <c r="AC51" s="180"/>
      <c r="AD51" s="282" t="s">
        <v>3617</v>
      </c>
      <c r="AE51" s="470">
        <f>IF((AE49+AE50)=0,1,AE49/AE50)</f>
        <v>1</v>
      </c>
      <c r="AF51" s="180"/>
      <c r="AG51" s="180"/>
      <c r="AH51" s="180"/>
      <c r="AI51" s="282" t="s">
        <v>3619</v>
      </c>
      <c r="AJ51" s="470">
        <f>IF((AJ49+AJ50)=0,1,AJ49/AJ50)</f>
        <v>1</v>
      </c>
      <c r="AL51" s="179">
        <v>12</v>
      </c>
      <c r="AM51" s="180"/>
      <c r="AN51" s="180"/>
      <c r="AO51" s="180"/>
      <c r="AP51" s="282" t="s">
        <v>3617</v>
      </c>
      <c r="AQ51" s="470">
        <f>IF((AQ49+AQ50)=0,1,AQ49/AQ50)</f>
        <v>1</v>
      </c>
      <c r="AR51" s="180"/>
      <c r="AS51" s="180"/>
      <c r="AT51" s="180"/>
      <c r="AU51" s="282" t="s">
        <v>3619</v>
      </c>
      <c r="AV51" s="470">
        <f>IF((AV49+AV50)=0,1,AV49/AV50)</f>
        <v>1</v>
      </c>
    </row>
    <row r="52" spans="2:48" ht="8.1" customHeight="1" x14ac:dyDescent="0.2">
      <c r="B52" s="252"/>
      <c r="C52" s="208"/>
      <c r="D52" s="208"/>
      <c r="E52" s="561"/>
      <c r="F52" s="561"/>
      <c r="G52" s="611"/>
      <c r="H52" s="208"/>
      <c r="I52" s="208"/>
      <c r="J52" s="208"/>
      <c r="K52" s="560"/>
      <c r="L52" s="562"/>
      <c r="N52" s="252"/>
      <c r="O52" s="208"/>
      <c r="P52" s="208"/>
      <c r="Q52" s="561"/>
      <c r="R52" s="561"/>
      <c r="S52" s="611"/>
      <c r="T52" s="208"/>
      <c r="U52" s="208"/>
      <c r="V52" s="208"/>
      <c r="W52" s="560"/>
      <c r="X52" s="562"/>
      <c r="Z52" s="252"/>
      <c r="AA52" s="208"/>
      <c r="AB52" s="208"/>
      <c r="AC52" s="561"/>
      <c r="AD52" s="561"/>
      <c r="AE52" s="611"/>
      <c r="AF52" s="208"/>
      <c r="AG52" s="208"/>
      <c r="AH52" s="208"/>
      <c r="AI52" s="560"/>
      <c r="AJ52" s="562"/>
      <c r="AL52" s="252"/>
      <c r="AM52" s="208"/>
      <c r="AN52" s="208"/>
      <c r="AO52" s="561"/>
      <c r="AP52" s="561"/>
      <c r="AQ52" s="611"/>
      <c r="AR52" s="208"/>
      <c r="AS52" s="208"/>
      <c r="AT52" s="208"/>
      <c r="AU52" s="560"/>
      <c r="AV52" s="562"/>
    </row>
    <row r="53" spans="2:48" ht="12" customHeight="1" x14ac:dyDescent="0.2">
      <c r="B53" s="179" t="s">
        <v>3620</v>
      </c>
      <c r="C53" s="180"/>
      <c r="D53" s="180"/>
      <c r="E53" s="180"/>
      <c r="F53" s="180"/>
      <c r="G53" s="478"/>
      <c r="H53" s="180"/>
      <c r="I53" s="180"/>
      <c r="J53" s="180"/>
      <c r="K53" s="180"/>
      <c r="L53" s="213"/>
      <c r="N53" s="179" t="s">
        <v>3620</v>
      </c>
      <c r="O53" s="180"/>
      <c r="P53" s="180"/>
      <c r="Q53" s="180"/>
      <c r="R53" s="180"/>
      <c r="S53" s="478"/>
      <c r="T53" s="180"/>
      <c r="U53" s="180"/>
      <c r="V53" s="180"/>
      <c r="W53" s="180"/>
      <c r="X53" s="213"/>
      <c r="Z53" s="179" t="s">
        <v>3620</v>
      </c>
      <c r="AA53" s="180"/>
      <c r="AB53" s="180"/>
      <c r="AC53" s="180"/>
      <c r="AD53" s="180"/>
      <c r="AE53" s="478"/>
      <c r="AF53" s="180"/>
      <c r="AG53" s="180"/>
      <c r="AH53" s="180"/>
      <c r="AI53" s="180"/>
      <c r="AJ53" s="213"/>
      <c r="AL53" s="179" t="s">
        <v>3620</v>
      </c>
      <c r="AM53" s="180"/>
      <c r="AN53" s="180"/>
      <c r="AO53" s="180"/>
      <c r="AP53" s="180"/>
      <c r="AQ53" s="478"/>
      <c r="AR53" s="180"/>
      <c r="AS53" s="180"/>
      <c r="AT53" s="180"/>
      <c r="AU53" s="180"/>
      <c r="AV53" s="213"/>
    </row>
    <row r="54" spans="2:48" ht="12" customHeight="1" x14ac:dyDescent="0.2">
      <c r="B54" s="179"/>
      <c r="C54" s="180"/>
      <c r="D54" s="180"/>
      <c r="E54" s="180"/>
      <c r="F54" s="282" t="s">
        <v>2921</v>
      </c>
      <c r="G54" s="478" t="s">
        <v>2922</v>
      </c>
      <c r="H54" s="180"/>
      <c r="I54" s="180"/>
      <c r="J54" s="180"/>
      <c r="K54" s="282" t="s">
        <v>2921</v>
      </c>
      <c r="L54" s="213" t="s">
        <v>2923</v>
      </c>
      <c r="N54" s="179"/>
      <c r="O54" s="180"/>
      <c r="P54" s="180"/>
      <c r="Q54" s="180"/>
      <c r="R54" s="282" t="s">
        <v>2921</v>
      </c>
      <c r="S54" s="478" t="s">
        <v>2922</v>
      </c>
      <c r="T54" s="180"/>
      <c r="U54" s="180"/>
      <c r="V54" s="180"/>
      <c r="W54" s="282" t="s">
        <v>2921</v>
      </c>
      <c r="X54" s="213" t="s">
        <v>2923</v>
      </c>
      <c r="Z54" s="179"/>
      <c r="AA54" s="180"/>
      <c r="AB54" s="180"/>
      <c r="AC54" s="180"/>
      <c r="AD54" s="282" t="s">
        <v>2921</v>
      </c>
      <c r="AE54" s="478" t="s">
        <v>2922</v>
      </c>
      <c r="AF54" s="180"/>
      <c r="AG54" s="180"/>
      <c r="AH54" s="180"/>
      <c r="AI54" s="282" t="s">
        <v>2921</v>
      </c>
      <c r="AJ54" s="213" t="s">
        <v>2923</v>
      </c>
      <c r="AL54" s="179"/>
      <c r="AM54" s="180"/>
      <c r="AN54" s="180"/>
      <c r="AO54" s="180"/>
      <c r="AP54" s="282" t="s">
        <v>2921</v>
      </c>
      <c r="AQ54" s="478" t="s">
        <v>2922</v>
      </c>
      <c r="AR54" s="180"/>
      <c r="AS54" s="180"/>
      <c r="AT54" s="180"/>
      <c r="AU54" s="282" t="s">
        <v>2921</v>
      </c>
      <c r="AV54" s="213" t="s">
        <v>2923</v>
      </c>
    </row>
    <row r="55" spans="2:48" ht="12" customHeight="1" x14ac:dyDescent="0.2">
      <c r="B55" s="179">
        <v>13</v>
      </c>
      <c r="C55" s="180"/>
      <c r="D55" s="180"/>
      <c r="E55" s="180"/>
      <c r="F55" s="282" t="s">
        <v>3621</v>
      </c>
      <c r="G55" s="470" t="e">
        <f>G31*G37*G41*G47*G51</f>
        <v>#N/A</v>
      </c>
      <c r="H55" s="180"/>
      <c r="I55" s="180"/>
      <c r="J55" s="180"/>
      <c r="K55" s="282" t="s">
        <v>3622</v>
      </c>
      <c r="L55" s="470" t="e">
        <f>G31*G37*G41*L47*L51</f>
        <v>#N/A</v>
      </c>
      <c r="N55" s="179">
        <v>13</v>
      </c>
      <c r="O55" s="180"/>
      <c r="P55" s="180"/>
      <c r="Q55" s="180"/>
      <c r="R55" s="282" t="s">
        <v>3621</v>
      </c>
      <c r="S55" s="470">
        <f>S31*S37*S41*S47*S51</f>
        <v>0</v>
      </c>
      <c r="T55" s="180"/>
      <c r="U55" s="180"/>
      <c r="V55" s="180"/>
      <c r="W55" s="282" t="s">
        <v>3622</v>
      </c>
      <c r="X55" s="470">
        <f>S31*S37*S41*X47*X51</f>
        <v>0</v>
      </c>
      <c r="Z55" s="179">
        <v>13</v>
      </c>
      <c r="AA55" s="180"/>
      <c r="AB55" s="180"/>
      <c r="AC55" s="180"/>
      <c r="AD55" s="282" t="s">
        <v>3621</v>
      </c>
      <c r="AE55" s="470">
        <f>AE31*AE37*AE41*AE47*AE51</f>
        <v>0</v>
      </c>
      <c r="AF55" s="180"/>
      <c r="AG55" s="180"/>
      <c r="AH55" s="180"/>
      <c r="AI55" s="282" t="s">
        <v>3622</v>
      </c>
      <c r="AJ55" s="470">
        <f>AE31*AE37*AE41*AJ47*AJ51</f>
        <v>0</v>
      </c>
      <c r="AL55" s="179">
        <v>13</v>
      </c>
      <c r="AM55" s="180"/>
      <c r="AN55" s="180"/>
      <c r="AO55" s="180"/>
      <c r="AP55" s="282" t="s">
        <v>3621</v>
      </c>
      <c r="AQ55" s="470">
        <f>AQ31*AQ37*AQ41*AQ47*AQ51</f>
        <v>0</v>
      </c>
      <c r="AR55" s="180"/>
      <c r="AS55" s="180"/>
      <c r="AT55" s="180"/>
      <c r="AU55" s="282" t="s">
        <v>3622</v>
      </c>
      <c r="AV55" s="470">
        <f>AQ31*AQ37*AQ41*AV47*AV51</f>
        <v>0</v>
      </c>
    </row>
    <row r="56" spans="2:48" ht="12" customHeight="1" x14ac:dyDescent="0.2">
      <c r="B56" s="179">
        <v>14</v>
      </c>
      <c r="C56" s="180"/>
      <c r="D56" s="180"/>
      <c r="E56" s="180"/>
      <c r="F56" s="282" t="s">
        <v>3623</v>
      </c>
      <c r="G56" s="470" t="e">
        <f>G32*G38*G42*G47*G51</f>
        <v>#DIV/0!</v>
      </c>
      <c r="H56" s="180"/>
      <c r="I56" s="180"/>
      <c r="J56" s="180"/>
      <c r="K56" s="282" t="s">
        <v>64</v>
      </c>
      <c r="L56" s="470" t="e">
        <f>G32*G38*G42*L47*L51</f>
        <v>#DIV/0!</v>
      </c>
      <c r="N56" s="179">
        <v>14</v>
      </c>
      <c r="O56" s="180"/>
      <c r="P56" s="180"/>
      <c r="Q56" s="180"/>
      <c r="R56" s="282" t="s">
        <v>3623</v>
      </c>
      <c r="S56" s="470">
        <f>S32*S38*S42*S47*S51</f>
        <v>0</v>
      </c>
      <c r="T56" s="180"/>
      <c r="U56" s="180"/>
      <c r="V56" s="180"/>
      <c r="W56" s="282" t="s">
        <v>64</v>
      </c>
      <c r="X56" s="470">
        <f>S32*S38*S42*X47*X51</f>
        <v>0</v>
      </c>
      <c r="Z56" s="179">
        <v>14</v>
      </c>
      <c r="AA56" s="180"/>
      <c r="AB56" s="180"/>
      <c r="AC56" s="180"/>
      <c r="AD56" s="282" t="s">
        <v>3623</v>
      </c>
      <c r="AE56" s="470">
        <f>AE32*AE38*AE42*AE47*AE51</f>
        <v>0</v>
      </c>
      <c r="AF56" s="180"/>
      <c r="AG56" s="180"/>
      <c r="AH56" s="180"/>
      <c r="AI56" s="282" t="s">
        <v>64</v>
      </c>
      <c r="AJ56" s="470">
        <f>AE32*AE38*AE42*AJ47*AJ51</f>
        <v>0</v>
      </c>
      <c r="AL56" s="179">
        <v>14</v>
      </c>
      <c r="AM56" s="180"/>
      <c r="AN56" s="180"/>
      <c r="AO56" s="180"/>
      <c r="AP56" s="282" t="s">
        <v>3623</v>
      </c>
      <c r="AQ56" s="470">
        <f>AQ32*AQ38*AQ42*AQ47*AQ51</f>
        <v>0</v>
      </c>
      <c r="AR56" s="180"/>
      <c r="AS56" s="180"/>
      <c r="AT56" s="180"/>
      <c r="AU56" s="282" t="s">
        <v>64</v>
      </c>
      <c r="AV56" s="470">
        <f>AQ32*AQ38*AQ42*AV47*AV51</f>
        <v>0</v>
      </c>
    </row>
    <row r="57" spans="2:48" ht="12" customHeight="1" x14ac:dyDescent="0.2">
      <c r="B57" s="179">
        <v>15</v>
      </c>
      <c r="C57" s="180" t="s">
        <v>65</v>
      </c>
      <c r="D57" s="180" t="s">
        <v>3410</v>
      </c>
      <c r="E57" s="180"/>
      <c r="F57" s="180"/>
      <c r="G57" s="180"/>
      <c r="H57" s="180"/>
      <c r="I57" s="180"/>
      <c r="J57" s="180"/>
      <c r="K57" s="284" t="s">
        <v>66</v>
      </c>
      <c r="L57" s="472" t="e">
        <f>G33*G43*L51</f>
        <v>#N/A</v>
      </c>
      <c r="N57" s="179">
        <v>15</v>
      </c>
      <c r="O57" s="180" t="s">
        <v>65</v>
      </c>
      <c r="P57" s="180" t="s">
        <v>3410</v>
      </c>
      <c r="Q57" s="180"/>
      <c r="R57" s="180"/>
      <c r="S57" s="180"/>
      <c r="T57" s="180"/>
      <c r="U57" s="180"/>
      <c r="V57" s="180"/>
      <c r="W57" s="284" t="s">
        <v>66</v>
      </c>
      <c r="X57" s="472">
        <f>S33*S43*X51</f>
        <v>0</v>
      </c>
      <c r="Z57" s="179">
        <v>15</v>
      </c>
      <c r="AA57" s="180" t="s">
        <v>65</v>
      </c>
      <c r="AB57" s="180" t="s">
        <v>3410</v>
      </c>
      <c r="AC57" s="180"/>
      <c r="AD57" s="180"/>
      <c r="AE57" s="180"/>
      <c r="AF57" s="180"/>
      <c r="AG57" s="180"/>
      <c r="AH57" s="180"/>
      <c r="AI57" s="284" t="s">
        <v>66</v>
      </c>
      <c r="AJ57" s="472">
        <f>AE33*AE43*AJ51</f>
        <v>0</v>
      </c>
      <c r="AL57" s="179">
        <v>15</v>
      </c>
      <c r="AM57" s="180" t="s">
        <v>65</v>
      </c>
      <c r="AN57" s="180" t="s">
        <v>3410</v>
      </c>
      <c r="AO57" s="180"/>
      <c r="AP57" s="180"/>
      <c r="AQ57" s="180"/>
      <c r="AR57" s="180"/>
      <c r="AS57" s="180"/>
      <c r="AT57" s="180"/>
      <c r="AU57" s="284" t="s">
        <v>66</v>
      </c>
      <c r="AV57" s="472">
        <f>AQ33*AQ43*AV51</f>
        <v>0</v>
      </c>
    </row>
    <row r="58" spans="2:48" ht="8.1" customHeight="1" x14ac:dyDescent="0.2">
      <c r="B58" s="179"/>
      <c r="C58" s="180"/>
      <c r="D58" s="180"/>
      <c r="E58" s="180"/>
      <c r="F58" s="180"/>
      <c r="G58" s="180"/>
      <c r="H58" s="180"/>
      <c r="I58" s="180"/>
      <c r="J58" s="180"/>
      <c r="K58" s="180"/>
      <c r="L58" s="283"/>
      <c r="N58" s="179"/>
      <c r="O58" s="180"/>
      <c r="P58" s="180"/>
      <c r="Q58" s="180"/>
      <c r="R58" s="180"/>
      <c r="S58" s="180"/>
      <c r="T58" s="180"/>
      <c r="U58" s="180"/>
      <c r="V58" s="180"/>
      <c r="W58" s="180"/>
      <c r="X58" s="283"/>
      <c r="Z58" s="179"/>
      <c r="AA58" s="180"/>
      <c r="AB58" s="180"/>
      <c r="AC58" s="180"/>
      <c r="AD58" s="180"/>
      <c r="AE58" s="180"/>
      <c r="AF58" s="180"/>
      <c r="AG58" s="180"/>
      <c r="AH58" s="180"/>
      <c r="AI58" s="180"/>
      <c r="AJ58" s="283"/>
      <c r="AL58" s="179"/>
      <c r="AM58" s="180"/>
      <c r="AN58" s="180"/>
      <c r="AO58" s="180"/>
      <c r="AP58" s="180"/>
      <c r="AQ58" s="180"/>
      <c r="AR58" s="180"/>
      <c r="AS58" s="180"/>
      <c r="AT58" s="180"/>
      <c r="AU58" s="180"/>
      <c r="AV58" s="283"/>
    </row>
    <row r="59" spans="2:48" ht="12" customHeight="1" x14ac:dyDescent="0.2">
      <c r="B59" s="179"/>
      <c r="C59" s="180"/>
      <c r="D59" s="180"/>
      <c r="E59" s="180"/>
      <c r="F59" s="180"/>
      <c r="G59" s="180"/>
      <c r="H59" s="1944" t="s">
        <v>2606</v>
      </c>
      <c r="I59" s="1944"/>
      <c r="J59" s="1944"/>
      <c r="K59" s="1944"/>
      <c r="L59" s="1945"/>
      <c r="N59" s="179"/>
      <c r="O59" s="180"/>
      <c r="P59" s="180"/>
      <c r="Q59" s="180"/>
      <c r="R59" s="180"/>
      <c r="S59" s="180"/>
      <c r="T59" s="1944" t="s">
        <v>2606</v>
      </c>
      <c r="U59" s="1944"/>
      <c r="V59" s="1944"/>
      <c r="W59" s="1944"/>
      <c r="X59" s="1945"/>
      <c r="Z59" s="179"/>
      <c r="AA59" s="180"/>
      <c r="AB59" s="180"/>
      <c r="AC59" s="180"/>
      <c r="AD59" s="180"/>
      <c r="AE59" s="180"/>
      <c r="AF59" s="1944" t="s">
        <v>2606</v>
      </c>
      <c r="AG59" s="1944"/>
      <c r="AH59" s="1944"/>
      <c r="AI59" s="1944"/>
      <c r="AJ59" s="1945"/>
      <c r="AL59" s="179"/>
      <c r="AM59" s="180"/>
      <c r="AN59" s="180"/>
      <c r="AO59" s="180"/>
      <c r="AP59" s="180"/>
      <c r="AQ59" s="180"/>
      <c r="AR59" s="1944" t="s">
        <v>2606</v>
      </c>
      <c r="AS59" s="1944"/>
      <c r="AT59" s="1944"/>
      <c r="AU59" s="1944"/>
      <c r="AV59" s="1945"/>
    </row>
    <row r="60" spans="2:48" ht="12" customHeight="1" x14ac:dyDescent="0.2">
      <c r="B60" s="179"/>
      <c r="C60" s="180"/>
      <c r="D60" s="180"/>
      <c r="E60" s="180"/>
      <c r="F60" s="180"/>
      <c r="G60" s="180"/>
      <c r="H60" s="1944"/>
      <c r="I60" s="1944"/>
      <c r="J60" s="1944"/>
      <c r="K60" s="1944"/>
      <c r="L60" s="1945"/>
      <c r="N60" s="179"/>
      <c r="O60" s="180"/>
      <c r="P60" s="180"/>
      <c r="Q60" s="180"/>
      <c r="R60" s="180"/>
      <c r="S60" s="180"/>
      <c r="T60" s="1944"/>
      <c r="U60" s="1944"/>
      <c r="V60" s="1944"/>
      <c r="W60" s="1944"/>
      <c r="X60" s="1945"/>
      <c r="Z60" s="179"/>
      <c r="AA60" s="180"/>
      <c r="AB60" s="180"/>
      <c r="AC60" s="180"/>
      <c r="AD60" s="180"/>
      <c r="AE60" s="180"/>
      <c r="AF60" s="1944"/>
      <c r="AG60" s="1944"/>
      <c r="AH60" s="1944"/>
      <c r="AI60" s="1944"/>
      <c r="AJ60" s="1945"/>
      <c r="AL60" s="179"/>
      <c r="AM60" s="180"/>
      <c r="AN60" s="180"/>
      <c r="AO60" s="180"/>
      <c r="AP60" s="180"/>
      <c r="AQ60" s="180"/>
      <c r="AR60" s="1944"/>
      <c r="AS60" s="1944"/>
      <c r="AT60" s="1944"/>
      <c r="AU60" s="1944"/>
      <c r="AV60" s="1945"/>
    </row>
    <row r="61" spans="2:48" ht="12" customHeight="1" x14ac:dyDescent="0.2">
      <c r="B61" s="220"/>
      <c r="C61" s="221"/>
      <c r="D61" s="221"/>
      <c r="E61" s="221"/>
      <c r="F61" s="221"/>
      <c r="G61" s="221"/>
      <c r="H61" s="1946"/>
      <c r="I61" s="1946"/>
      <c r="J61" s="1946"/>
      <c r="K61" s="1946"/>
      <c r="L61" s="1947"/>
      <c r="N61" s="220"/>
      <c r="O61" s="221"/>
      <c r="P61" s="221"/>
      <c r="Q61" s="221"/>
      <c r="R61" s="221"/>
      <c r="S61" s="221"/>
      <c r="T61" s="1946"/>
      <c r="U61" s="1946"/>
      <c r="V61" s="1946"/>
      <c r="W61" s="1946"/>
      <c r="X61" s="1947"/>
      <c r="Z61" s="220"/>
      <c r="AA61" s="221"/>
      <c r="AB61" s="221"/>
      <c r="AC61" s="221"/>
      <c r="AD61" s="221"/>
      <c r="AE61" s="221"/>
      <c r="AF61" s="1946"/>
      <c r="AG61" s="1946"/>
      <c r="AH61" s="1946"/>
      <c r="AI61" s="1946"/>
      <c r="AJ61" s="1947"/>
      <c r="AL61" s="220"/>
      <c r="AM61" s="221"/>
      <c r="AN61" s="221"/>
      <c r="AO61" s="221"/>
      <c r="AP61" s="221"/>
      <c r="AQ61" s="221"/>
      <c r="AR61" s="1946"/>
      <c r="AS61" s="1946"/>
      <c r="AT61" s="1946"/>
      <c r="AU61" s="1946"/>
      <c r="AV61" s="1947"/>
    </row>
    <row r="63" spans="2:48" ht="12" customHeight="1" x14ac:dyDescent="0.2">
      <c r="L63" s="174"/>
    </row>
    <row r="64" spans="2:48" ht="12" customHeight="1" x14ac:dyDescent="0.2">
      <c r="L64" s="174"/>
    </row>
    <row r="65" spans="12:12" ht="12" customHeight="1" x14ac:dyDescent="0.2">
      <c r="L65" s="174"/>
    </row>
    <row r="66" spans="12:12" ht="12" customHeight="1" x14ac:dyDescent="0.2">
      <c r="L66" s="174"/>
    </row>
  </sheetData>
  <mergeCells count="43">
    <mergeCell ref="J38:J39"/>
    <mergeCell ref="P5:S5"/>
    <mergeCell ref="H59:L61"/>
    <mergeCell ref="Q7:S7"/>
    <mergeCell ref="N20:R20"/>
    <mergeCell ref="S20:T20"/>
    <mergeCell ref="S24:T24"/>
    <mergeCell ref="T59:X61"/>
    <mergeCell ref="G24:H24"/>
    <mergeCell ref="J24:K24"/>
    <mergeCell ref="E2:I2"/>
    <mergeCell ref="E3:I3"/>
    <mergeCell ref="Q2:U2"/>
    <mergeCell ref="E7:G7"/>
    <mergeCell ref="B25:E26"/>
    <mergeCell ref="D5:G5"/>
    <mergeCell ref="Q3:U3"/>
    <mergeCell ref="G20:H20"/>
    <mergeCell ref="N25:Q26"/>
    <mergeCell ref="B20:F20"/>
    <mergeCell ref="AC3:AG3"/>
    <mergeCell ref="AE24:AF24"/>
    <mergeCell ref="Z25:AC26"/>
    <mergeCell ref="V24:W24"/>
    <mergeCell ref="AO2:AS2"/>
    <mergeCell ref="AO3:AS3"/>
    <mergeCell ref="AN5:AQ5"/>
    <mergeCell ref="AC2:AG2"/>
    <mergeCell ref="AB5:AE5"/>
    <mergeCell ref="AF59:AJ61"/>
    <mergeCell ref="AC7:AE7"/>
    <mergeCell ref="Z20:AD20"/>
    <mergeCell ref="AE20:AF20"/>
    <mergeCell ref="K38:K39"/>
    <mergeCell ref="L38:L39"/>
    <mergeCell ref="AH24:AI24"/>
    <mergeCell ref="AR59:AV61"/>
    <mergeCell ref="AO7:AQ7"/>
    <mergeCell ref="AL20:AP20"/>
    <mergeCell ref="AQ20:AR20"/>
    <mergeCell ref="AQ24:AR24"/>
    <mergeCell ref="AT24:AU24"/>
    <mergeCell ref="AL25:AO26"/>
  </mergeCells>
  <phoneticPr fontId="27" type="noConversion"/>
  <pageMargins left="0.75" right="0.75" top="1" bottom="1" header="0.5" footer="0.5"/>
  <pageSetup orientation="portrait" r:id="rId1"/>
  <headerFooter alignWithMargins="0"/>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41">
    <tabColor indexed="15"/>
  </sheetPr>
  <dimension ref="B1:G9"/>
  <sheetViews>
    <sheetView showRowColHeaders="0" workbookViewId="0">
      <selection activeCell="C8" sqref="C8"/>
    </sheetView>
  </sheetViews>
  <sheetFormatPr defaultColWidth="2.7109375" defaultRowHeight="12.95" customHeight="1" x14ac:dyDescent="0.2"/>
  <cols>
    <col min="1" max="1" width="2.7109375" style="1016" customWidth="1"/>
    <col min="2" max="2" width="18.7109375" style="1016" customWidth="1"/>
    <col min="3" max="3" width="10.140625" style="1016" bestFit="1" customWidth="1"/>
    <col min="4" max="4" width="2.7109375" style="1016" customWidth="1"/>
    <col min="5" max="5" width="5.7109375" style="1046" hidden="1" customWidth="1"/>
    <col min="6" max="6" width="2.7109375" style="1046" hidden="1" customWidth="1"/>
    <col min="7" max="7" width="5.85546875" style="1046" hidden="1" customWidth="1"/>
    <col min="8" max="16384" width="2.7109375" style="1016"/>
  </cols>
  <sheetData>
    <row r="1" spans="2:7" ht="12.95" customHeight="1" thickBot="1" x14ac:dyDescent="0.25"/>
    <row r="2" spans="2:7" ht="12.95" customHeight="1" thickBot="1" x14ac:dyDescent="0.25">
      <c r="B2" s="1898" t="s">
        <v>379</v>
      </c>
      <c r="C2" s="1900"/>
    </row>
    <row r="3" spans="2:7" ht="12.95" customHeight="1" x14ac:dyDescent="0.2">
      <c r="B3" s="1234"/>
      <c r="C3" s="1036" t="s">
        <v>859</v>
      </c>
    </row>
    <row r="4" spans="2:7" ht="12.95" customHeight="1" x14ac:dyDescent="0.2">
      <c r="B4" s="1235"/>
      <c r="C4" s="1226"/>
      <c r="E4" s="1019">
        <f>('Form N1'!G7/60)*C4</f>
        <v>0</v>
      </c>
    </row>
    <row r="5" spans="2:7" ht="12.95" customHeight="1" x14ac:dyDescent="0.2">
      <c r="B5" s="1236"/>
      <c r="C5" s="1047" t="s">
        <v>1454</v>
      </c>
    </row>
    <row r="6" spans="2:7" ht="12.95" customHeight="1" x14ac:dyDescent="0.2">
      <c r="B6" s="1235"/>
      <c r="C6" s="1226"/>
      <c r="E6" s="1019">
        <f>G6*C6</f>
        <v>0</v>
      </c>
      <c r="G6" s="1035">
        <f>'Wrk E'!R25</f>
        <v>0</v>
      </c>
    </row>
    <row r="7" spans="2:7" ht="12.95" customHeight="1" x14ac:dyDescent="0.2">
      <c r="B7" s="1236"/>
      <c r="C7" s="1048" t="s">
        <v>3743</v>
      </c>
    </row>
    <row r="8" spans="2:7" ht="12.95" customHeight="1" thickBot="1" x14ac:dyDescent="0.25">
      <c r="B8" s="1234"/>
      <c r="C8" s="1233"/>
      <c r="E8" s="1019">
        <f>C8</f>
        <v>0</v>
      </c>
      <c r="F8" s="1019">
        <v>1</v>
      </c>
      <c r="G8" s="1019">
        <f>IF(F8=1,E4,IF(F8=2,E6,IF(F8=3,E8)))</f>
        <v>0</v>
      </c>
    </row>
    <row r="9" spans="2:7" ht="12.95" customHeight="1" thickBot="1" x14ac:dyDescent="0.25">
      <c r="B9" s="1962" t="s">
        <v>1452</v>
      </c>
      <c r="C9" s="1963"/>
    </row>
  </sheetData>
  <mergeCells count="2">
    <mergeCell ref="B2:C2"/>
    <mergeCell ref="B9:C9"/>
  </mergeCells>
  <phoneticPr fontId="2" type="noConversion"/>
  <dataValidations count="1">
    <dataValidation type="list" allowBlank="1" showInputMessage="1" showErrorMessage="1" sqref="C6" xr:uid="{00000000-0002-0000-1600-000000000000}">
      <formula1>CFM_Person</formula1>
    </dataValidation>
  </dataValidations>
  <hyperlinks>
    <hyperlink ref="B9:C9" location="N1_Ventilation" display="► Return to N1 Form" xr:uid="{00000000-0004-0000-1600-000000000000}"/>
  </hyperlinks>
  <pageMargins left="0.75" right="0.75" top="1" bottom="1" header="0.5" footer="0.5"/>
  <headerFooter alignWithMargins="0"/>
  <customProperties>
    <customPr name="SSCSheetTrackingNo" r:id="rId1"/>
  </customProperties>
  <drawing r:id="rId2"/>
  <legacyDrawing r:id="rId3"/>
  <mc:AlternateContent xmlns:mc="http://schemas.openxmlformats.org/markup-compatibility/2006">
    <mc:Choice Requires="x14">
      <controls>
        <mc:AlternateContent xmlns:mc="http://schemas.openxmlformats.org/markup-compatibility/2006">
          <mc:Choice Requires="x14">
            <control shapeId="33808" r:id="rId4" name="Group Box 16">
              <controlPr locked="0" defaultSize="0" autoFill="0" autoPict="0">
                <anchor moveWithCells="1">
                  <from>
                    <xdr:col>1</xdr:col>
                    <xdr:colOff>9525</xdr:colOff>
                    <xdr:row>0</xdr:row>
                    <xdr:rowOff>142875</xdr:rowOff>
                  </from>
                  <to>
                    <xdr:col>3</xdr:col>
                    <xdr:colOff>9525</xdr:colOff>
                    <xdr:row>9</xdr:row>
                    <xdr:rowOff>0</xdr:rowOff>
                  </to>
                </anchor>
              </controlPr>
            </control>
          </mc:Choice>
        </mc:AlternateContent>
        <mc:AlternateContent xmlns:mc="http://schemas.openxmlformats.org/markup-compatibility/2006">
          <mc:Choice Requires="x14">
            <control shapeId="33809" r:id="rId5" name="Option Button 17">
              <controlPr locked="0" defaultSize="0" autoFill="0" autoLine="0" autoPict="0">
                <anchor moveWithCells="1">
                  <from>
                    <xdr:col>1</xdr:col>
                    <xdr:colOff>0</xdr:colOff>
                    <xdr:row>2</xdr:row>
                    <xdr:rowOff>0</xdr:rowOff>
                  </from>
                  <to>
                    <xdr:col>2</xdr:col>
                    <xdr:colOff>0</xdr:colOff>
                    <xdr:row>3</xdr:row>
                    <xdr:rowOff>57150</xdr:rowOff>
                  </to>
                </anchor>
              </controlPr>
            </control>
          </mc:Choice>
        </mc:AlternateContent>
        <mc:AlternateContent xmlns:mc="http://schemas.openxmlformats.org/markup-compatibility/2006">
          <mc:Choice Requires="x14">
            <control shapeId="33810" r:id="rId6" name="Option Button 18">
              <controlPr locked="0" defaultSize="0" autoFill="0" autoLine="0" autoPict="0">
                <anchor moveWithCells="1">
                  <from>
                    <xdr:col>1</xdr:col>
                    <xdr:colOff>0</xdr:colOff>
                    <xdr:row>4</xdr:row>
                    <xdr:rowOff>0</xdr:rowOff>
                  </from>
                  <to>
                    <xdr:col>1</xdr:col>
                    <xdr:colOff>981075</xdr:colOff>
                    <xdr:row>5</xdr:row>
                    <xdr:rowOff>57150</xdr:rowOff>
                  </to>
                </anchor>
              </controlPr>
            </control>
          </mc:Choice>
        </mc:AlternateContent>
        <mc:AlternateContent xmlns:mc="http://schemas.openxmlformats.org/markup-compatibility/2006">
          <mc:Choice Requires="x14">
            <control shapeId="33812" r:id="rId7" name="Option Button 20">
              <controlPr locked="0" defaultSize="0" autoFill="0" autoLine="0" autoPict="0">
                <anchor moveWithCells="1">
                  <from>
                    <xdr:col>1</xdr:col>
                    <xdr:colOff>0</xdr:colOff>
                    <xdr:row>6</xdr:row>
                    <xdr:rowOff>0</xdr:rowOff>
                  </from>
                  <to>
                    <xdr:col>2</xdr:col>
                    <xdr:colOff>0</xdr:colOff>
                    <xdr:row>7</xdr:row>
                    <xdr:rowOff>38100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6">
    <tabColor indexed="13"/>
  </sheetPr>
  <dimension ref="A2:B33"/>
  <sheetViews>
    <sheetView workbookViewId="0">
      <selection activeCell="A35" sqref="A35"/>
    </sheetView>
  </sheetViews>
  <sheetFormatPr defaultRowHeight="12.75" x14ac:dyDescent="0.2"/>
  <cols>
    <col min="1" max="1" width="30.7109375" customWidth="1"/>
  </cols>
  <sheetData>
    <row r="2" spans="1:2" x14ac:dyDescent="0.2">
      <c r="A2" t="s">
        <v>2936</v>
      </c>
    </row>
    <row r="4" spans="1:2" x14ac:dyDescent="0.2">
      <c r="A4" t="s">
        <v>2240</v>
      </c>
      <c r="B4" t="s">
        <v>2937</v>
      </c>
    </row>
    <row r="6" spans="1:2" x14ac:dyDescent="0.2">
      <c r="A6" t="s">
        <v>3488</v>
      </c>
      <c r="B6" t="s">
        <v>3489</v>
      </c>
    </row>
    <row r="7" spans="1:2" x14ac:dyDescent="0.2">
      <c r="B7" t="s">
        <v>3490</v>
      </c>
    </row>
    <row r="8" spans="1:2" x14ac:dyDescent="0.2">
      <c r="B8" t="s">
        <v>3491</v>
      </c>
    </row>
    <row r="10" spans="1:2" x14ac:dyDescent="0.2">
      <c r="A10" t="s">
        <v>306</v>
      </c>
      <c r="B10" t="s">
        <v>307</v>
      </c>
    </row>
    <row r="12" spans="1:2" x14ac:dyDescent="0.2">
      <c r="A12" t="s">
        <v>532</v>
      </c>
      <c r="B12" t="s">
        <v>533</v>
      </c>
    </row>
    <row r="14" spans="1:2" x14ac:dyDescent="0.2">
      <c r="A14" t="s">
        <v>3677</v>
      </c>
      <c r="B14" t="s">
        <v>909</v>
      </c>
    </row>
    <row r="15" spans="1:2" x14ac:dyDescent="0.2">
      <c r="B15" t="s">
        <v>958</v>
      </c>
    </row>
    <row r="16" spans="1:2" x14ac:dyDescent="0.2">
      <c r="B16" t="s">
        <v>913</v>
      </c>
    </row>
    <row r="18" spans="1:2" x14ac:dyDescent="0.2">
      <c r="A18" t="s">
        <v>711</v>
      </c>
      <c r="B18" t="s">
        <v>1110</v>
      </c>
    </row>
    <row r="20" spans="1:2" x14ac:dyDescent="0.2">
      <c r="A20" t="s">
        <v>957</v>
      </c>
      <c r="B20" t="s">
        <v>959</v>
      </c>
    </row>
    <row r="21" spans="1:2" x14ac:dyDescent="0.2">
      <c r="B21" t="s">
        <v>960</v>
      </c>
    </row>
    <row r="23" spans="1:2" x14ac:dyDescent="0.2">
      <c r="A23" s="1309" t="s">
        <v>4190</v>
      </c>
      <c r="B23" s="1309" t="s">
        <v>4189</v>
      </c>
    </row>
    <row r="25" spans="1:2" x14ac:dyDescent="0.2">
      <c r="A25" s="1310" t="s">
        <v>4191</v>
      </c>
      <c r="B25" s="1310" t="s">
        <v>4192</v>
      </c>
    </row>
    <row r="27" spans="1:2" x14ac:dyDescent="0.2">
      <c r="A27" s="1310" t="s">
        <v>4193</v>
      </c>
      <c r="B27" s="1310" t="s">
        <v>4199</v>
      </c>
    </row>
    <row r="29" spans="1:2" x14ac:dyDescent="0.2">
      <c r="A29" s="1310" t="s">
        <v>4197</v>
      </c>
      <c r="B29" s="1310" t="s">
        <v>4198</v>
      </c>
    </row>
    <row r="31" spans="1:2" x14ac:dyDescent="0.2">
      <c r="A31" s="1310" t="s">
        <v>4200</v>
      </c>
      <c r="B31" s="1310" t="s">
        <v>4198</v>
      </c>
    </row>
    <row r="33" spans="1:2" x14ac:dyDescent="0.2">
      <c r="A33" s="1310" t="s">
        <v>4201</v>
      </c>
      <c r="B33" s="1310" t="s">
        <v>4202</v>
      </c>
    </row>
  </sheetData>
  <phoneticPr fontId="2" type="noConversion"/>
  <pageMargins left="0.75" right="0.75" top="1" bottom="1" header="0.5" footer="0.5"/>
  <headerFooter alignWithMargins="0"/>
  <customProperties>
    <customPr name="SSCSheetTrackingNo" r:id="rId1"/>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2"/>
  <sheetViews>
    <sheetView workbookViewId="0">
      <selection activeCell="A4" sqref="A4"/>
    </sheetView>
  </sheetViews>
  <sheetFormatPr defaultRowHeight="12.75" x14ac:dyDescent="0.2"/>
  <sheetData>
    <row r="1" spans="1:1" x14ac:dyDescent="0.2">
      <c r="A1" t="s">
        <v>961</v>
      </c>
    </row>
    <row r="2" spans="1:1" x14ac:dyDescent="0.2">
      <c r="A2" t="s">
        <v>962</v>
      </c>
    </row>
  </sheetData>
  <phoneticPr fontId="2" type="noConversion"/>
  <pageMargins left="0.75" right="0.75" top="1" bottom="1" header="0.5" footer="0.5"/>
  <headerFooter alignWithMargins="0"/>
  <customProperties>
    <customPr name="SSCSheetTrackingNo" r:id="rId1"/>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8"/>
  <dimension ref="B2:U164"/>
  <sheetViews>
    <sheetView topLeftCell="A130" workbookViewId="0">
      <selection activeCell="F32" sqref="F32"/>
    </sheetView>
  </sheetViews>
  <sheetFormatPr defaultColWidth="9.140625" defaultRowHeight="11.45" customHeight="1" x14ac:dyDescent="0.2"/>
  <cols>
    <col min="1" max="1" width="3.7109375" style="1" customWidth="1"/>
    <col min="2" max="2" width="3.7109375" style="2" customWidth="1"/>
    <col min="3" max="14" width="9.140625" style="2"/>
    <col min="15" max="15" width="9.140625" style="1"/>
    <col min="16" max="19" width="9.140625" style="2"/>
    <col min="20" max="16384" width="9.140625" style="1"/>
  </cols>
  <sheetData>
    <row r="2" spans="2:16" ht="11.45" customHeight="1" x14ac:dyDescent="0.2">
      <c r="B2" s="2031" t="s">
        <v>2114</v>
      </c>
      <c r="C2" s="2032"/>
      <c r="D2" s="2033"/>
      <c r="E2" s="2033"/>
      <c r="F2" s="2033"/>
      <c r="G2" s="2033"/>
      <c r="H2" s="2033"/>
      <c r="I2" s="2033"/>
      <c r="J2" s="2033"/>
      <c r="K2" s="2033"/>
      <c r="L2" s="2033"/>
      <c r="M2" s="2033"/>
      <c r="N2" s="2033"/>
      <c r="O2" s="2034"/>
    </row>
    <row r="3" spans="2:16" ht="11.45" customHeight="1" x14ac:dyDescent="0.2">
      <c r="B3" s="331"/>
      <c r="C3" s="332"/>
      <c r="D3" s="332"/>
      <c r="E3" s="29"/>
      <c r="F3" s="454" t="s">
        <v>476</v>
      </c>
      <c r="G3" s="685" t="str">
        <f>'Wrk A'!H5</f>
        <v>Block</v>
      </c>
      <c r="H3" s="919" t="s">
        <v>3985</v>
      </c>
      <c r="I3" s="920" t="str">
        <f>'Wrk A'!C15</f>
        <v>Jul &amp; Aug</v>
      </c>
      <c r="J3" s="919" t="s">
        <v>1079</v>
      </c>
      <c r="K3" s="950">
        <f>'Wrk A'!K16</f>
        <v>0.5</v>
      </c>
      <c r="L3" s="332"/>
      <c r="M3" s="332"/>
      <c r="N3" s="332"/>
      <c r="O3" s="355"/>
    </row>
    <row r="4" spans="2:16" ht="8.1" customHeight="1" x14ac:dyDescent="0.2">
      <c r="B4" s="1987"/>
      <c r="C4" s="1988"/>
      <c r="D4" s="2000"/>
      <c r="E4" s="2000"/>
      <c r="F4" s="2000"/>
      <c r="G4" s="2039"/>
      <c r="H4" s="2000"/>
      <c r="I4" s="2000"/>
      <c r="J4" s="2000"/>
      <c r="K4" s="2000"/>
      <c r="L4" s="2000"/>
      <c r="M4" s="2000"/>
      <c r="N4" s="2000"/>
      <c r="O4" s="1350"/>
    </row>
    <row r="5" spans="2:16" ht="11.45" customHeight="1" x14ac:dyDescent="0.2">
      <c r="B5" s="1996" t="s">
        <v>2116</v>
      </c>
      <c r="C5" s="1997"/>
      <c r="D5" s="1419"/>
      <c r="E5" s="1419"/>
      <c r="F5" s="1419"/>
      <c r="G5" s="1419"/>
      <c r="H5" s="1419"/>
      <c r="I5" s="1419"/>
      <c r="J5" s="1419"/>
      <c r="K5" s="1419"/>
      <c r="L5" s="1419"/>
      <c r="M5" s="1419"/>
      <c r="N5" s="1419"/>
      <c r="O5" s="1350"/>
    </row>
    <row r="6" spans="2:16" ht="11.45" customHeight="1" x14ac:dyDescent="0.2">
      <c r="B6" s="2004" t="s">
        <v>838</v>
      </c>
      <c r="C6" s="1383"/>
      <c r="D6" s="1384"/>
      <c r="E6" s="975" t="s">
        <v>1686</v>
      </c>
      <c r="F6" s="333" t="s">
        <v>839</v>
      </c>
      <c r="G6" s="333" t="s">
        <v>489</v>
      </c>
      <c r="H6" s="334" t="s">
        <v>844</v>
      </c>
      <c r="I6" s="334" t="s">
        <v>839</v>
      </c>
      <c r="J6" s="334" t="s">
        <v>2631</v>
      </c>
      <c r="K6" s="334" t="s">
        <v>2115</v>
      </c>
      <c r="L6" s="2006" t="s">
        <v>2632</v>
      </c>
      <c r="M6" s="2007"/>
      <c r="N6" s="334" t="s">
        <v>2115</v>
      </c>
      <c r="O6" s="334" t="s">
        <v>851</v>
      </c>
      <c r="P6" s="971" t="s">
        <v>351</v>
      </c>
    </row>
    <row r="7" spans="2:16" ht="11.45" customHeight="1" x14ac:dyDescent="0.2">
      <c r="B7" s="1385"/>
      <c r="C7" s="1388"/>
      <c r="D7" s="1387"/>
      <c r="E7" s="976" t="s">
        <v>352</v>
      </c>
      <c r="F7" s="335" t="s">
        <v>840</v>
      </c>
      <c r="G7" s="335" t="s">
        <v>842</v>
      </c>
      <c r="H7" s="336" t="s">
        <v>3513</v>
      </c>
      <c r="I7" s="335" t="s">
        <v>845</v>
      </c>
      <c r="J7" s="335" t="s">
        <v>956</v>
      </c>
      <c r="K7" s="335" t="s">
        <v>845</v>
      </c>
      <c r="L7" s="334" t="s">
        <v>849</v>
      </c>
      <c r="M7" s="334" t="s">
        <v>1084</v>
      </c>
      <c r="N7" s="335" t="s">
        <v>1053</v>
      </c>
      <c r="O7" s="335" t="s">
        <v>852</v>
      </c>
      <c r="P7" s="972" t="s">
        <v>349</v>
      </c>
    </row>
    <row r="8" spans="2:16" ht="11.45" customHeight="1" x14ac:dyDescent="0.2">
      <c r="B8" s="2010"/>
      <c r="C8" s="2011"/>
      <c r="D8" s="1653"/>
      <c r="E8" s="976" t="s">
        <v>3639</v>
      </c>
      <c r="F8" s="22" t="s">
        <v>841</v>
      </c>
      <c r="G8" s="337" t="s">
        <v>843</v>
      </c>
      <c r="H8" s="352" t="s">
        <v>59</v>
      </c>
      <c r="I8" s="22" t="s">
        <v>846</v>
      </c>
      <c r="J8" s="338" t="s">
        <v>847</v>
      </c>
      <c r="K8" s="338" t="s">
        <v>848</v>
      </c>
      <c r="L8" s="22"/>
      <c r="M8" s="352" t="s">
        <v>59</v>
      </c>
      <c r="N8" s="338" t="s">
        <v>850</v>
      </c>
      <c r="O8" s="338" t="s">
        <v>853</v>
      </c>
      <c r="P8" s="973" t="s">
        <v>350</v>
      </c>
    </row>
    <row r="9" spans="2:16" ht="11.45" customHeight="1" x14ac:dyDescent="0.2">
      <c r="B9" s="17" t="s">
        <v>481</v>
      </c>
      <c r="C9" s="633"/>
      <c r="D9" s="358"/>
      <c r="E9" s="858"/>
      <c r="F9" s="72">
        <f>InternalI!D5</f>
        <v>0</v>
      </c>
      <c r="G9" s="72">
        <f>InternalI!B5</f>
        <v>0</v>
      </c>
      <c r="H9" s="72">
        <f>InternalI!N5</f>
        <v>0</v>
      </c>
      <c r="I9" s="575">
        <f>3.413*F9*G9*H9</f>
        <v>0</v>
      </c>
      <c r="J9" s="1039">
        <v>1</v>
      </c>
      <c r="K9" s="575">
        <f>I9*J9</f>
        <v>0</v>
      </c>
      <c r="L9" s="1040" t="s">
        <v>484</v>
      </c>
      <c r="M9" s="1041">
        <v>1</v>
      </c>
      <c r="N9" s="575">
        <f>K9*M9</f>
        <v>0</v>
      </c>
      <c r="O9" s="575">
        <f>I9*(1-J9)</f>
        <v>0</v>
      </c>
      <c r="P9" s="974">
        <f>E9*I9</f>
        <v>0</v>
      </c>
    </row>
    <row r="10" spans="2:16" ht="11.45" customHeight="1" x14ac:dyDescent="0.2">
      <c r="B10" s="17" t="s">
        <v>482</v>
      </c>
      <c r="C10" s="633"/>
      <c r="D10" s="358"/>
      <c r="E10" s="858"/>
      <c r="F10" s="72">
        <f>InternalI!D6</f>
        <v>0</v>
      </c>
      <c r="G10" s="72">
        <f>InternalI!B6</f>
        <v>0</v>
      </c>
      <c r="H10" s="72">
        <f>InternalI!N6</f>
        <v>0</v>
      </c>
      <c r="I10" s="575">
        <f>3.413*F10*G10*H10</f>
        <v>0</v>
      </c>
      <c r="J10" s="1039">
        <v>1</v>
      </c>
      <c r="K10" s="575">
        <f>I10*J10</f>
        <v>0</v>
      </c>
      <c r="L10" s="1040"/>
      <c r="M10" s="1041">
        <v>1</v>
      </c>
      <c r="N10" s="575">
        <f>K10*M10</f>
        <v>0</v>
      </c>
      <c r="O10" s="575">
        <f>I10*(1-J10)</f>
        <v>0</v>
      </c>
      <c r="P10" s="974">
        <f>E10*I10</f>
        <v>0</v>
      </c>
    </row>
    <row r="11" spans="2:16" ht="11.45" customHeight="1" x14ac:dyDescent="0.2">
      <c r="B11" s="17" t="s">
        <v>483</v>
      </c>
      <c r="C11" s="633"/>
      <c r="D11" s="358"/>
      <c r="E11" s="858"/>
      <c r="F11" s="72">
        <f>InternalI!D7</f>
        <v>0</v>
      </c>
      <c r="G11" s="72">
        <f>InternalI!B7</f>
        <v>0</v>
      </c>
      <c r="H11" s="72">
        <f>InternalI!N7</f>
        <v>0</v>
      </c>
      <c r="I11" s="575">
        <f>3.413*F11*G11*H11</f>
        <v>0</v>
      </c>
      <c r="J11" s="1039">
        <v>1</v>
      </c>
      <c r="K11" s="575">
        <f>I11*J11</f>
        <v>0</v>
      </c>
      <c r="L11" s="1040"/>
      <c r="M11" s="1041">
        <v>1</v>
      </c>
      <c r="N11" s="575">
        <f>K11*M11</f>
        <v>0</v>
      </c>
      <c r="O11" s="575">
        <f>I11*(1-J11)</f>
        <v>0</v>
      </c>
      <c r="P11" s="974">
        <f>E11*I11</f>
        <v>0</v>
      </c>
    </row>
    <row r="12" spans="2:16" ht="11.45" customHeight="1" x14ac:dyDescent="0.2">
      <c r="B12" s="17" t="s">
        <v>484</v>
      </c>
      <c r="C12" s="633"/>
      <c r="D12" s="358"/>
      <c r="E12" s="858"/>
      <c r="F12" s="72">
        <f>InternalI!D8</f>
        <v>0</v>
      </c>
      <c r="G12" s="72">
        <f>InternalI!B8</f>
        <v>0</v>
      </c>
      <c r="H12" s="72">
        <f>InternalI!N8</f>
        <v>0</v>
      </c>
      <c r="I12" s="575">
        <f>3.413*F12*G12*H12</f>
        <v>0</v>
      </c>
      <c r="J12" s="1039">
        <v>1</v>
      </c>
      <c r="K12" s="575">
        <f>I12*J12</f>
        <v>0</v>
      </c>
      <c r="L12" s="1040"/>
      <c r="M12" s="1041">
        <v>1</v>
      </c>
      <c r="N12" s="575">
        <f>K12*M12</f>
        <v>0</v>
      </c>
      <c r="O12" s="575">
        <f>I12*(1-J12)</f>
        <v>0</v>
      </c>
      <c r="P12" s="974">
        <f>E12*I12</f>
        <v>0</v>
      </c>
    </row>
    <row r="13" spans="2:16" ht="11.45" customHeight="1" x14ac:dyDescent="0.2">
      <c r="B13" s="2014" t="s">
        <v>348</v>
      </c>
      <c r="C13" s="1998"/>
      <c r="D13" s="2015"/>
      <c r="E13" s="2015"/>
      <c r="F13" s="2015"/>
      <c r="G13" s="2015"/>
      <c r="H13" s="2015"/>
      <c r="I13" s="2015"/>
      <c r="J13" s="2015"/>
      <c r="K13" s="2016"/>
      <c r="L13" s="2017"/>
      <c r="M13" s="340" t="s">
        <v>854</v>
      </c>
      <c r="N13" s="575">
        <f>SUM(N9:N12)</f>
        <v>0</v>
      </c>
      <c r="O13" s="575">
        <f>SUM(O9:O12)</f>
        <v>0</v>
      </c>
      <c r="P13" s="974">
        <f>SUM(P9:P12)</f>
        <v>0</v>
      </c>
    </row>
    <row r="14" spans="2:16" ht="11.45" customHeight="1" x14ac:dyDescent="0.2">
      <c r="B14" s="2035" t="s">
        <v>3192</v>
      </c>
      <c r="C14" s="2036"/>
      <c r="D14" s="2036"/>
      <c r="E14" s="2036"/>
      <c r="F14" s="2036"/>
      <c r="G14" s="2036"/>
      <c r="H14" s="2036"/>
      <c r="I14" s="2036"/>
      <c r="J14" s="2036"/>
      <c r="K14" s="2036"/>
      <c r="L14" s="2036"/>
      <c r="M14" s="2036"/>
      <c r="N14" s="2036"/>
      <c r="O14" s="1689"/>
    </row>
    <row r="15" spans="2:16" ht="11.45" customHeight="1" x14ac:dyDescent="0.2">
      <c r="B15" s="2037"/>
      <c r="C15" s="2038"/>
      <c r="D15" s="2038"/>
      <c r="E15" s="2038"/>
      <c r="F15" s="2038"/>
      <c r="G15" s="2038"/>
      <c r="H15" s="2038"/>
      <c r="I15" s="2038"/>
      <c r="J15" s="2038"/>
      <c r="K15" s="2038"/>
      <c r="L15" s="2038"/>
      <c r="M15" s="2038"/>
      <c r="N15" s="2038"/>
      <c r="O15" s="1693"/>
    </row>
    <row r="16" spans="2:16" ht="8.1" customHeight="1" x14ac:dyDescent="0.2">
      <c r="B16" s="1987"/>
      <c r="C16" s="1988"/>
      <c r="D16" s="2000"/>
      <c r="E16" s="2000"/>
      <c r="F16" s="2000"/>
      <c r="G16" s="2000"/>
      <c r="H16" s="2000"/>
      <c r="I16" s="2000"/>
      <c r="J16" s="2000"/>
      <c r="K16" s="2000"/>
      <c r="L16" s="2000"/>
      <c r="M16" s="2000"/>
      <c r="N16" s="2000"/>
      <c r="O16" s="1350"/>
    </row>
    <row r="17" spans="2:20" ht="11.45" customHeight="1" x14ac:dyDescent="0.2">
      <c r="B17" s="1996" t="s">
        <v>855</v>
      </c>
      <c r="C17" s="1997"/>
      <c r="D17" s="1419"/>
      <c r="E17" s="1419"/>
      <c r="F17" s="1419"/>
      <c r="G17" s="1419"/>
      <c r="H17" s="1419"/>
      <c r="I17" s="1419"/>
      <c r="J17" s="1419"/>
      <c r="K17" s="1419"/>
      <c r="L17" s="1419"/>
      <c r="M17" s="1419"/>
      <c r="N17" s="1419"/>
      <c r="O17" s="1350"/>
      <c r="R17" s="21" t="s">
        <v>4106</v>
      </c>
    </row>
    <row r="18" spans="2:20" ht="11.45" customHeight="1" x14ac:dyDescent="0.2">
      <c r="B18" s="2004" t="s">
        <v>862</v>
      </c>
      <c r="C18" s="2005"/>
      <c r="D18" s="2009"/>
      <c r="E18" s="2009"/>
      <c r="F18" s="1689"/>
      <c r="G18" s="345" t="s">
        <v>861</v>
      </c>
      <c r="H18" s="346" t="s">
        <v>1749</v>
      </c>
      <c r="I18" s="347" t="s">
        <v>1750</v>
      </c>
      <c r="J18" s="347" t="s">
        <v>844</v>
      </c>
      <c r="K18" s="347" t="s">
        <v>1749</v>
      </c>
      <c r="L18" s="2006" t="s">
        <v>2632</v>
      </c>
      <c r="M18" s="2007"/>
      <c r="N18" s="346" t="s">
        <v>1749</v>
      </c>
      <c r="O18" s="346" t="s">
        <v>1750</v>
      </c>
      <c r="R18" s="348" t="s">
        <v>4107</v>
      </c>
      <c r="S18" s="347" t="s">
        <v>1055</v>
      </c>
    </row>
    <row r="19" spans="2:20" ht="11.45" customHeight="1" x14ac:dyDescent="0.2">
      <c r="B19" s="2028"/>
      <c r="C19" s="2029"/>
      <c r="D19" s="2030"/>
      <c r="E19" s="2029"/>
      <c r="F19" s="1691"/>
      <c r="G19" s="348" t="s">
        <v>843</v>
      </c>
      <c r="H19" s="349" t="s">
        <v>859</v>
      </c>
      <c r="I19" s="350" t="s">
        <v>859</v>
      </c>
      <c r="J19" s="350" t="s">
        <v>3513</v>
      </c>
      <c r="K19" s="350" t="s">
        <v>845</v>
      </c>
      <c r="L19" s="334" t="s">
        <v>849</v>
      </c>
      <c r="M19" s="334" t="s">
        <v>1084</v>
      </c>
      <c r="N19" s="349" t="s">
        <v>1053</v>
      </c>
      <c r="O19" s="349" t="s">
        <v>1053</v>
      </c>
      <c r="R19" s="348" t="s">
        <v>4108</v>
      </c>
      <c r="S19" s="350" t="s">
        <v>845</v>
      </c>
    </row>
    <row r="20" spans="2:20" ht="11.45" customHeight="1" x14ac:dyDescent="0.2">
      <c r="B20" s="2028"/>
      <c r="C20" s="2029"/>
      <c r="D20" s="2029"/>
      <c r="E20" s="2029"/>
      <c r="F20" s="1691"/>
      <c r="G20" s="351"/>
      <c r="H20" s="352" t="s">
        <v>860</v>
      </c>
      <c r="I20" s="353" t="s">
        <v>860</v>
      </c>
      <c r="J20" s="352" t="s">
        <v>59</v>
      </c>
      <c r="K20" s="353" t="s">
        <v>858</v>
      </c>
      <c r="L20" s="22"/>
      <c r="M20" s="352" t="s">
        <v>59</v>
      </c>
      <c r="N20" s="352" t="s">
        <v>857</v>
      </c>
      <c r="O20" s="352" t="s">
        <v>856</v>
      </c>
      <c r="R20" s="351" t="s">
        <v>4109</v>
      </c>
      <c r="S20" s="353" t="s">
        <v>858</v>
      </c>
    </row>
    <row r="21" spans="2:20" ht="11.45" customHeight="1" x14ac:dyDescent="0.2">
      <c r="B21" s="17" t="s">
        <v>481</v>
      </c>
      <c r="C21" s="2025">
        <f>InternalI!D11</f>
        <v>0</v>
      </c>
      <c r="D21" s="2026"/>
      <c r="E21" s="2026"/>
      <c r="F21" s="2027"/>
      <c r="G21" s="72">
        <f>InternalI!B11</f>
        <v>0</v>
      </c>
      <c r="H21" s="72" t="str">
        <f>InternalI!Q11</f>
        <v/>
      </c>
      <c r="I21" s="391" t="str">
        <f>InternalI!S11</f>
        <v/>
      </c>
      <c r="J21" s="1272">
        <f>InternalI!N11</f>
        <v>0</v>
      </c>
      <c r="K21" s="575">
        <f>IF(H21="",0,G21*J21*H21)</f>
        <v>0</v>
      </c>
      <c r="L21" s="1040"/>
      <c r="M21" s="1041">
        <v>1</v>
      </c>
      <c r="N21" s="575">
        <f>K21*M21</f>
        <v>0</v>
      </c>
      <c r="O21" s="575">
        <f>IF(I21="",0,G21*J21*I21)</f>
        <v>0</v>
      </c>
      <c r="R21" s="339">
        <f>ROUND(G21*J21,0)</f>
        <v>0</v>
      </c>
      <c r="S21" s="575">
        <f>K21+O21</f>
        <v>0</v>
      </c>
    </row>
    <row r="22" spans="2:20" ht="11.45" customHeight="1" x14ac:dyDescent="0.2">
      <c r="B22" s="17" t="s">
        <v>482</v>
      </c>
      <c r="C22" s="2025">
        <f>InternalI!D12</f>
        <v>0</v>
      </c>
      <c r="D22" s="2026"/>
      <c r="E22" s="2026"/>
      <c r="F22" s="2027"/>
      <c r="G22" s="72">
        <f>InternalI!B12</f>
        <v>0</v>
      </c>
      <c r="H22" s="72" t="str">
        <f>InternalI!Q12</f>
        <v/>
      </c>
      <c r="I22" s="391" t="str">
        <f>InternalI!S12</f>
        <v/>
      </c>
      <c r="J22" s="391">
        <f>InternalI!N12</f>
        <v>0</v>
      </c>
      <c r="K22" s="575">
        <f>IF(G22=0,0,G22*J22*H22)</f>
        <v>0</v>
      </c>
      <c r="L22" s="1040"/>
      <c r="M22" s="1041">
        <v>1</v>
      </c>
      <c r="N22" s="575">
        <f>K22*M22</f>
        <v>0</v>
      </c>
      <c r="O22" s="575">
        <f>IF(G22=0,0,G22*J22*I22)</f>
        <v>0</v>
      </c>
      <c r="R22" s="339">
        <f>ROUND(G22*J22,0)</f>
        <v>0</v>
      </c>
      <c r="S22" s="575">
        <f>K22+O22</f>
        <v>0</v>
      </c>
    </row>
    <row r="23" spans="2:20" ht="11.45" customHeight="1" x14ac:dyDescent="0.2">
      <c r="B23" s="17" t="s">
        <v>483</v>
      </c>
      <c r="C23" s="2025">
        <f>InternalI!D13</f>
        <v>0</v>
      </c>
      <c r="D23" s="2026"/>
      <c r="E23" s="2026"/>
      <c r="F23" s="2027"/>
      <c r="G23" s="72">
        <f>InternalI!B13</f>
        <v>0</v>
      </c>
      <c r="H23" s="72" t="str">
        <f>InternalI!Q13</f>
        <v/>
      </c>
      <c r="I23" s="391" t="str">
        <f>InternalI!S13</f>
        <v/>
      </c>
      <c r="J23" s="391">
        <f>InternalI!N13</f>
        <v>0</v>
      </c>
      <c r="K23" s="575">
        <f>IF(G23=0,0,G23*J23*H23)</f>
        <v>0</v>
      </c>
      <c r="L23" s="1040"/>
      <c r="M23" s="1041">
        <v>1</v>
      </c>
      <c r="N23" s="575">
        <f>K23*M23</f>
        <v>0</v>
      </c>
      <c r="O23" s="575">
        <f>IF(G23=0,0,G23*J23*I23)</f>
        <v>0</v>
      </c>
      <c r="R23" s="339">
        <f>ROUND(G23*J23,0)</f>
        <v>0</v>
      </c>
      <c r="S23" s="575">
        <f>K23+O23</f>
        <v>0</v>
      </c>
    </row>
    <row r="24" spans="2:20" ht="11.45" customHeight="1" x14ac:dyDescent="0.2">
      <c r="B24" s="17" t="s">
        <v>484</v>
      </c>
      <c r="C24" s="2025">
        <f>InternalI!D14</f>
        <v>0</v>
      </c>
      <c r="D24" s="2026"/>
      <c r="E24" s="2026"/>
      <c r="F24" s="2027"/>
      <c r="G24" s="72">
        <f>InternalI!B14</f>
        <v>0</v>
      </c>
      <c r="H24" s="72" t="str">
        <f>InternalI!Q14</f>
        <v/>
      </c>
      <c r="I24" s="391" t="str">
        <f>InternalI!S14</f>
        <v/>
      </c>
      <c r="J24" s="391">
        <f>InternalI!N14</f>
        <v>0</v>
      </c>
      <c r="K24" s="575">
        <f>IF(G24=0,0,G24*J24*H24)</f>
        <v>0</v>
      </c>
      <c r="L24" s="1040"/>
      <c r="M24" s="1041">
        <v>1</v>
      </c>
      <c r="N24" s="575">
        <f>K24*M24</f>
        <v>0</v>
      </c>
      <c r="O24" s="575">
        <f>IF(G24=0,0,G24*J24*I24)</f>
        <v>0</v>
      </c>
      <c r="R24" s="339">
        <f>ROUND(G24*J24,0)</f>
        <v>0</v>
      </c>
      <c r="S24" s="575">
        <f>K24+O24</f>
        <v>0</v>
      </c>
    </row>
    <row r="25" spans="2:20" ht="11.45" customHeight="1" x14ac:dyDescent="0.2">
      <c r="B25" s="18"/>
      <c r="C25" s="19"/>
      <c r="D25" s="342"/>
      <c r="E25" s="342"/>
      <c r="F25" s="343"/>
      <c r="H25" s="1998" t="s">
        <v>863</v>
      </c>
      <c r="I25" s="1999"/>
      <c r="J25" s="1999"/>
      <c r="K25" s="1999"/>
      <c r="L25" s="1999"/>
      <c r="M25" s="1964"/>
      <c r="N25" s="575">
        <f>SUM(N21:N24)</f>
        <v>0</v>
      </c>
      <c r="O25" s="575">
        <f>SUM(O21:O24)</f>
        <v>0</v>
      </c>
      <c r="Q25" s="853" t="s">
        <v>3614</v>
      </c>
      <c r="R25" s="137">
        <f>SUM(R21:R24)</f>
        <v>0</v>
      </c>
    </row>
    <row r="26" spans="2:20" ht="11.45" customHeight="1" x14ac:dyDescent="0.2">
      <c r="B26" s="1481" t="s">
        <v>2630</v>
      </c>
      <c r="C26" s="1430"/>
      <c r="D26" s="1966"/>
      <c r="E26" s="1966"/>
      <c r="F26" s="1966"/>
      <c r="G26" s="1966"/>
      <c r="H26" s="1966"/>
      <c r="I26" s="1966"/>
      <c r="J26" s="1966"/>
      <c r="K26" s="1966"/>
      <c r="L26" s="1966"/>
      <c r="M26" s="1966"/>
      <c r="N26" s="1966"/>
      <c r="O26" s="1350"/>
    </row>
    <row r="27" spans="2:20" ht="8.1" customHeight="1" x14ac:dyDescent="0.2">
      <c r="B27" s="1987"/>
      <c r="C27" s="1988"/>
      <c r="D27" s="2000"/>
      <c r="E27" s="2000"/>
      <c r="F27" s="2000"/>
      <c r="G27" s="2000"/>
      <c r="H27" s="2000"/>
      <c r="I27" s="2000"/>
      <c r="J27" s="2000"/>
      <c r="K27" s="2000"/>
      <c r="L27" s="2000"/>
      <c r="M27" s="2000"/>
      <c r="N27" s="2000"/>
      <c r="O27" s="1350"/>
      <c r="T27" s="2"/>
    </row>
    <row r="28" spans="2:20" ht="11.45" customHeight="1" x14ac:dyDescent="0.2">
      <c r="B28" s="1996" t="s">
        <v>1457</v>
      </c>
      <c r="C28" s="1997"/>
      <c r="D28" s="1419"/>
      <c r="E28" s="1419"/>
      <c r="F28" s="1419"/>
      <c r="G28" s="1419"/>
      <c r="H28" s="1419"/>
      <c r="I28" s="1419"/>
      <c r="J28" s="1419"/>
      <c r="K28" s="1419"/>
      <c r="L28" s="1419"/>
      <c r="M28" s="1419"/>
      <c r="N28" s="1419"/>
      <c r="O28" s="1350"/>
      <c r="T28" s="2"/>
    </row>
    <row r="29" spans="2:20" ht="11.45" customHeight="1" x14ac:dyDescent="0.2">
      <c r="B29" s="2004" t="s">
        <v>2242</v>
      </c>
      <c r="C29" s="2005"/>
      <c r="D29" s="2018"/>
      <c r="E29" s="2041" t="s">
        <v>1460</v>
      </c>
      <c r="F29" s="2042"/>
      <c r="G29" s="345" t="s">
        <v>861</v>
      </c>
      <c r="H29" s="346" t="s">
        <v>1749</v>
      </c>
      <c r="I29" s="347" t="s">
        <v>1750</v>
      </c>
      <c r="J29" s="347" t="s">
        <v>844</v>
      </c>
      <c r="K29" s="347" t="s">
        <v>1749</v>
      </c>
      <c r="L29" s="2006" t="s">
        <v>2632</v>
      </c>
      <c r="M29" s="2007"/>
      <c r="N29" s="346" t="s">
        <v>1749</v>
      </c>
      <c r="O29" s="346" t="s">
        <v>1750</v>
      </c>
      <c r="Q29" s="386" t="s">
        <v>1470</v>
      </c>
      <c r="R29" s="590"/>
      <c r="S29" s="590"/>
      <c r="T29" s="769"/>
    </row>
    <row r="30" spans="2:20" ht="11.45" customHeight="1" x14ac:dyDescent="0.2">
      <c r="B30" s="2019"/>
      <c r="C30" s="2020"/>
      <c r="D30" s="2021"/>
      <c r="E30" s="348" t="s">
        <v>1458</v>
      </c>
      <c r="F30" s="698" t="s">
        <v>1458</v>
      </c>
      <c r="G30" s="348" t="s">
        <v>843</v>
      </c>
      <c r="H30" s="349" t="s">
        <v>859</v>
      </c>
      <c r="I30" s="350" t="s">
        <v>859</v>
      </c>
      <c r="J30" s="350" t="s">
        <v>3513</v>
      </c>
      <c r="K30" s="350" t="s">
        <v>845</v>
      </c>
      <c r="L30" s="334" t="s">
        <v>849</v>
      </c>
      <c r="M30" s="334" t="s">
        <v>1084</v>
      </c>
      <c r="N30" s="349" t="s">
        <v>1053</v>
      </c>
      <c r="O30" s="349" t="s">
        <v>1053</v>
      </c>
      <c r="Q30" s="1414" t="s">
        <v>915</v>
      </c>
      <c r="R30" s="2012"/>
      <c r="S30" s="2012"/>
      <c r="T30" s="2013"/>
    </row>
    <row r="31" spans="2:20" ht="11.45" customHeight="1" x14ac:dyDescent="0.2">
      <c r="B31" s="2022"/>
      <c r="C31" s="2023"/>
      <c r="D31" s="2024"/>
      <c r="E31" s="348" t="s">
        <v>840</v>
      </c>
      <c r="F31" s="698" t="s">
        <v>1179</v>
      </c>
      <c r="G31" s="351"/>
      <c r="H31" s="352" t="s">
        <v>860</v>
      </c>
      <c r="I31" s="353" t="s">
        <v>860</v>
      </c>
      <c r="J31" s="352" t="s">
        <v>59</v>
      </c>
      <c r="K31" s="353" t="s">
        <v>858</v>
      </c>
      <c r="L31" s="22"/>
      <c r="M31" s="352" t="s">
        <v>59</v>
      </c>
      <c r="N31" s="352" t="s">
        <v>857</v>
      </c>
      <c r="O31" s="352" t="s">
        <v>856</v>
      </c>
      <c r="Q31" s="362" t="s">
        <v>1469</v>
      </c>
      <c r="R31" s="362" t="s">
        <v>447</v>
      </c>
      <c r="S31" s="362" t="s">
        <v>1469</v>
      </c>
      <c r="T31" s="362" t="s">
        <v>448</v>
      </c>
    </row>
    <row r="32" spans="2:20" ht="11.45" customHeight="1" x14ac:dyDescent="0.2">
      <c r="B32" s="17" t="s">
        <v>481</v>
      </c>
      <c r="C32" s="1056"/>
      <c r="D32" s="1057"/>
      <c r="E32" s="391">
        <f>InternalI!D18*3.413</f>
        <v>0</v>
      </c>
      <c r="F32" s="391">
        <f>InternalI!H18</f>
        <v>0</v>
      </c>
      <c r="G32" s="72">
        <f>InternalI!B18</f>
        <v>0</v>
      </c>
      <c r="H32" s="575">
        <f>MAX(E32,F32)</f>
        <v>0</v>
      </c>
      <c r="I32" s="391">
        <f>InternalI!K18</f>
        <v>0</v>
      </c>
      <c r="J32" s="391">
        <f>InternalI!N18</f>
        <v>0</v>
      </c>
      <c r="K32" s="575">
        <f>G32*H32*J32</f>
        <v>0</v>
      </c>
      <c r="L32" s="1040"/>
      <c r="M32" s="1041">
        <v>1</v>
      </c>
      <c r="N32" s="575">
        <f>K32*M32</f>
        <v>0</v>
      </c>
      <c r="O32" s="575">
        <f>G32*J32*I32</f>
        <v>0</v>
      </c>
      <c r="Q32" s="362">
        <v>1</v>
      </c>
      <c r="R32" s="129"/>
      <c r="S32" s="362">
        <v>1</v>
      </c>
      <c r="T32" s="129"/>
    </row>
    <row r="33" spans="2:20" ht="11.45" customHeight="1" x14ac:dyDescent="0.2">
      <c r="B33" s="17" t="s">
        <v>482</v>
      </c>
      <c r="C33" s="1056"/>
      <c r="D33" s="1057"/>
      <c r="E33" s="391">
        <f>InternalI!D19*3.413</f>
        <v>0</v>
      </c>
      <c r="F33" s="391">
        <f>InternalI!H19</f>
        <v>0</v>
      </c>
      <c r="G33" s="72">
        <f>InternalI!B19</f>
        <v>0</v>
      </c>
      <c r="H33" s="575">
        <f>MAX(E33,F33)</f>
        <v>0</v>
      </c>
      <c r="I33" s="391">
        <f>InternalI!K19</f>
        <v>0</v>
      </c>
      <c r="J33" s="391">
        <f>InternalI!N19</f>
        <v>0</v>
      </c>
      <c r="K33" s="575">
        <f>G33*H33*J33</f>
        <v>0</v>
      </c>
      <c r="L33" s="1040"/>
      <c r="M33" s="1041">
        <v>1</v>
      </c>
      <c r="N33" s="575">
        <f>K33*M33</f>
        <v>0</v>
      </c>
      <c r="O33" s="575">
        <f>G33*J33*I33</f>
        <v>0</v>
      </c>
      <c r="Q33" s="362">
        <v>2</v>
      </c>
      <c r="R33" s="129"/>
      <c r="S33" s="362">
        <v>2</v>
      </c>
      <c r="T33" s="129"/>
    </row>
    <row r="34" spans="2:20" ht="11.45" customHeight="1" x14ac:dyDescent="0.2">
      <c r="B34" s="17" t="s">
        <v>483</v>
      </c>
      <c r="C34" s="1056"/>
      <c r="D34" s="1057"/>
      <c r="E34" s="391">
        <f>InternalI!D20*3.413</f>
        <v>0</v>
      </c>
      <c r="F34" s="391">
        <f>InternalI!H20</f>
        <v>0</v>
      </c>
      <c r="G34" s="72">
        <f>InternalI!B20</f>
        <v>0</v>
      </c>
      <c r="H34" s="575">
        <f>MAX(E34,F34)</f>
        <v>0</v>
      </c>
      <c r="I34" s="391">
        <f>InternalI!K20</f>
        <v>0</v>
      </c>
      <c r="J34" s="391">
        <f>InternalI!N20</f>
        <v>0</v>
      </c>
      <c r="K34" s="575">
        <f>G34*H34*J34</f>
        <v>0</v>
      </c>
      <c r="L34" s="1040"/>
      <c r="M34" s="1041">
        <v>1</v>
      </c>
      <c r="N34" s="575">
        <f>K34*M34</f>
        <v>0</v>
      </c>
      <c r="O34" s="575">
        <f>G34*J34*I34</f>
        <v>0</v>
      </c>
      <c r="Q34" s="362">
        <v>3</v>
      </c>
      <c r="R34" s="129"/>
      <c r="S34" s="362">
        <v>3</v>
      </c>
      <c r="T34" s="129"/>
    </row>
    <row r="35" spans="2:20" ht="11.45" customHeight="1" x14ac:dyDescent="0.2">
      <c r="B35" s="17" t="s">
        <v>484</v>
      </c>
      <c r="C35" s="1056"/>
      <c r="D35" s="1057"/>
      <c r="E35" s="391">
        <f>InternalI!D21*3.413</f>
        <v>0</v>
      </c>
      <c r="F35" s="391">
        <f>InternalI!H21</f>
        <v>0</v>
      </c>
      <c r="G35" s="72">
        <f>InternalI!B21</f>
        <v>0</v>
      </c>
      <c r="H35" s="575">
        <f>MAX(E35,F35)</f>
        <v>0</v>
      </c>
      <c r="I35" s="391">
        <f>InternalI!K21</f>
        <v>0</v>
      </c>
      <c r="J35" s="391">
        <f>InternalI!N21</f>
        <v>0</v>
      </c>
      <c r="K35" s="575">
        <f>G35*H35*J35</f>
        <v>0</v>
      </c>
      <c r="L35" s="1040"/>
      <c r="M35" s="1041">
        <v>1</v>
      </c>
      <c r="N35" s="575">
        <f>K35*M35</f>
        <v>0</v>
      </c>
      <c r="O35" s="575">
        <f>G35*J35*I35</f>
        <v>0</v>
      </c>
      <c r="Q35" s="362">
        <v>4</v>
      </c>
      <c r="R35" s="129"/>
      <c r="S35" s="362">
        <v>4</v>
      </c>
      <c r="T35" s="129"/>
    </row>
    <row r="36" spans="2:20" ht="11.45" customHeight="1" x14ac:dyDescent="0.2">
      <c r="B36" s="18"/>
      <c r="C36" s="19"/>
      <c r="D36" s="342"/>
      <c r="E36" s="2040" t="s">
        <v>2241</v>
      </c>
      <c r="F36" s="1784"/>
      <c r="G36" s="1784"/>
      <c r="H36" s="1784"/>
      <c r="I36" s="1784"/>
      <c r="J36" s="1784"/>
      <c r="K36" s="1784"/>
      <c r="L36" s="1784"/>
      <c r="M36" s="1964"/>
      <c r="N36" s="575">
        <f>SUM(N32:N35)</f>
        <v>0</v>
      </c>
      <c r="O36" s="575">
        <f>SUM(O32:O35)</f>
        <v>0</v>
      </c>
      <c r="Q36" s="362">
        <v>5</v>
      </c>
      <c r="R36" s="129"/>
      <c r="S36" s="362">
        <v>5</v>
      </c>
      <c r="T36" s="129"/>
    </row>
    <row r="37" spans="2:20" ht="11.45" customHeight="1" x14ac:dyDescent="0.2">
      <c r="B37" s="1481" t="s">
        <v>1459</v>
      </c>
      <c r="C37" s="1430"/>
      <c r="D37" s="1966"/>
      <c r="E37" s="1966"/>
      <c r="F37" s="1966"/>
      <c r="G37" s="1966"/>
      <c r="H37" s="1966"/>
      <c r="I37" s="1966"/>
      <c r="J37" s="1966"/>
      <c r="K37" s="1966"/>
      <c r="L37" s="1966"/>
      <c r="M37" s="1966"/>
      <c r="N37" s="1966"/>
      <c r="O37" s="1350"/>
      <c r="Q37" s="364" t="s">
        <v>450</v>
      </c>
      <c r="R37" s="365">
        <f>R32*T32+R33*T33+R34*T34+R35*T35+R36*T36</f>
        <v>0</v>
      </c>
      <c r="S37" s="363" t="s">
        <v>449</v>
      </c>
      <c r="T37" s="66">
        <f>SUM(T32:T36)</f>
        <v>0</v>
      </c>
    </row>
    <row r="38" spans="2:20" ht="8.1" customHeight="1" x14ac:dyDescent="0.2">
      <c r="B38" s="1987"/>
      <c r="C38" s="1988"/>
      <c r="D38" s="2000"/>
      <c r="E38" s="2000"/>
      <c r="F38" s="2000"/>
      <c r="G38" s="2000"/>
      <c r="H38" s="2000"/>
      <c r="I38" s="2000"/>
      <c r="J38" s="2000"/>
      <c r="K38" s="2000"/>
      <c r="L38" s="2000"/>
      <c r="M38" s="2000"/>
      <c r="N38" s="2000"/>
      <c r="O38" s="1350"/>
    </row>
    <row r="39" spans="2:20" ht="11.45" customHeight="1" x14ac:dyDescent="0.2">
      <c r="B39" s="1996" t="s">
        <v>2243</v>
      </c>
      <c r="C39" s="1997"/>
      <c r="D39" s="1419"/>
      <c r="E39" s="1419"/>
      <c r="F39" s="1419"/>
      <c r="G39" s="1419"/>
      <c r="H39" s="1419"/>
      <c r="I39" s="1419"/>
      <c r="J39" s="1419"/>
      <c r="K39" s="1419"/>
      <c r="L39" s="1419"/>
      <c r="M39" s="1419"/>
      <c r="N39" s="1419"/>
      <c r="O39" s="1350"/>
      <c r="Q39" s="41" t="s">
        <v>1472</v>
      </c>
    </row>
    <row r="40" spans="2:20" ht="11.45" customHeight="1" x14ac:dyDescent="0.2">
      <c r="B40" s="2004" t="s">
        <v>1009</v>
      </c>
      <c r="C40" s="1384"/>
      <c r="D40" s="349" t="s">
        <v>440</v>
      </c>
      <c r="E40" s="21" t="s">
        <v>443</v>
      </c>
      <c r="F40" s="345" t="s">
        <v>1053</v>
      </c>
      <c r="G40" s="346" t="s">
        <v>2244</v>
      </c>
      <c r="H40" s="347" t="s">
        <v>2245</v>
      </c>
      <c r="I40" s="347" t="s">
        <v>2245</v>
      </c>
      <c r="J40" s="347" t="s">
        <v>2250</v>
      </c>
      <c r="K40" s="333" t="s">
        <v>2245</v>
      </c>
      <c r="L40" s="359" t="s">
        <v>489</v>
      </c>
      <c r="M40" s="2006" t="s">
        <v>2632</v>
      </c>
      <c r="N40" s="2007"/>
      <c r="O40" s="346" t="s">
        <v>1749</v>
      </c>
    </row>
    <row r="41" spans="2:20" ht="11.45" customHeight="1" x14ac:dyDescent="0.2">
      <c r="B41" s="2010"/>
      <c r="C41" s="1653"/>
      <c r="D41" s="349" t="s">
        <v>442</v>
      </c>
      <c r="E41" s="43" t="s">
        <v>444</v>
      </c>
      <c r="F41" s="349" t="s">
        <v>3513</v>
      </c>
      <c r="G41" s="349" t="s">
        <v>3513</v>
      </c>
      <c r="H41" s="350" t="s">
        <v>2246</v>
      </c>
      <c r="I41" s="350" t="s">
        <v>2246</v>
      </c>
      <c r="J41" s="350" t="s">
        <v>2251</v>
      </c>
      <c r="K41" s="335" t="s">
        <v>2246</v>
      </c>
      <c r="L41" s="335" t="s">
        <v>843</v>
      </c>
      <c r="M41" s="334" t="s">
        <v>849</v>
      </c>
      <c r="N41" s="334" t="s">
        <v>1084</v>
      </c>
      <c r="O41" s="349" t="s">
        <v>1053</v>
      </c>
      <c r="Q41" s="1414" t="s">
        <v>1473</v>
      </c>
      <c r="R41" s="1314"/>
      <c r="S41" s="1315"/>
      <c r="T41" s="21" t="s">
        <v>1474</v>
      </c>
    </row>
    <row r="42" spans="2:20" ht="11.45" customHeight="1" x14ac:dyDescent="0.2">
      <c r="B42" s="43"/>
      <c r="C42" s="43" t="s">
        <v>2248</v>
      </c>
      <c r="D42" s="738" t="s">
        <v>1468</v>
      </c>
      <c r="E42" s="43" t="s">
        <v>445</v>
      </c>
      <c r="F42" s="348" t="s">
        <v>916</v>
      </c>
      <c r="G42" s="349" t="s">
        <v>917</v>
      </c>
      <c r="H42" s="350" t="s">
        <v>3513</v>
      </c>
      <c r="I42" s="350" t="s">
        <v>2248</v>
      </c>
      <c r="J42" s="350" t="s">
        <v>2252</v>
      </c>
      <c r="K42" s="43" t="s">
        <v>845</v>
      </c>
      <c r="L42" s="43"/>
      <c r="M42" s="43"/>
      <c r="N42" s="349" t="s">
        <v>59</v>
      </c>
      <c r="O42" s="349" t="s">
        <v>857</v>
      </c>
      <c r="Q42" s="17" t="s">
        <v>443</v>
      </c>
      <c r="R42" s="17" t="s">
        <v>443</v>
      </c>
      <c r="S42" s="17" t="s">
        <v>443</v>
      </c>
      <c r="T42" s="43" t="s">
        <v>1475</v>
      </c>
    </row>
    <row r="43" spans="2:20" ht="11.45" customHeight="1" x14ac:dyDescent="0.2">
      <c r="B43" s="22"/>
      <c r="C43" s="43" t="s">
        <v>441</v>
      </c>
      <c r="D43" s="2" t="s">
        <v>1467</v>
      </c>
      <c r="E43" s="22" t="s">
        <v>446</v>
      </c>
      <c r="F43" s="2043" t="s">
        <v>1471</v>
      </c>
      <c r="G43" s="2044"/>
      <c r="H43" s="353" t="s">
        <v>2247</v>
      </c>
      <c r="I43" s="353" t="s">
        <v>2249</v>
      </c>
      <c r="J43" s="353" t="s">
        <v>860</v>
      </c>
      <c r="K43" s="22" t="s">
        <v>2253</v>
      </c>
      <c r="L43" s="22"/>
      <c r="M43" s="61"/>
      <c r="N43" s="61"/>
      <c r="O43" s="352"/>
      <c r="Q43" s="17">
        <v>1</v>
      </c>
      <c r="R43" s="17">
        <v>2</v>
      </c>
      <c r="S43" s="17">
        <v>3</v>
      </c>
      <c r="T43" s="22" t="s">
        <v>1476</v>
      </c>
    </row>
    <row r="44" spans="2:20" ht="11.45" customHeight="1" x14ac:dyDescent="0.2">
      <c r="B44" s="17" t="s">
        <v>481</v>
      </c>
      <c r="C44" s="69"/>
      <c r="D44" s="129">
        <v>1</v>
      </c>
      <c r="E44" s="341"/>
      <c r="F44" s="129"/>
      <c r="G44" s="129"/>
      <c r="H44" s="577">
        <f>IF(T44:T47,T44,F44*G44)</f>
        <v>0</v>
      </c>
      <c r="I44" s="141">
        <f>C44*H44</f>
        <v>0</v>
      </c>
      <c r="J44" s="391"/>
      <c r="K44" s="361">
        <f>(E44=1)*Q44+(E44=2)*R44+(E44=3)*S44</f>
        <v>0</v>
      </c>
      <c r="L44" s="72"/>
      <c r="M44" s="341"/>
      <c r="N44" s="697">
        <v>1</v>
      </c>
      <c r="O44" s="575">
        <f>K44*L44*N44</f>
        <v>0</v>
      </c>
      <c r="Q44" s="66">
        <f>(2545*I44)/D44-J44</f>
        <v>0</v>
      </c>
      <c r="R44" s="66">
        <f>(2545*I44)-J44</f>
        <v>0</v>
      </c>
      <c r="S44" s="66">
        <f>(2545*I44)/D44-2545*I44</f>
        <v>0</v>
      </c>
      <c r="T44" s="697"/>
    </row>
    <row r="45" spans="2:20" ht="11.45" customHeight="1" x14ac:dyDescent="0.2">
      <c r="B45" s="17" t="s">
        <v>482</v>
      </c>
      <c r="C45" s="69"/>
      <c r="D45" s="129">
        <v>1</v>
      </c>
      <c r="E45" s="341"/>
      <c r="F45" s="129"/>
      <c r="G45" s="129"/>
      <c r="H45" s="577">
        <f>IF(T45:T47,T45,F45*G45)</f>
        <v>0</v>
      </c>
      <c r="I45" s="141">
        <f>C45*H45</f>
        <v>0</v>
      </c>
      <c r="J45" s="391"/>
      <c r="K45" s="361">
        <f>(E45=1)*Q45+(E45=2)*R45+(E45=3)*S45</f>
        <v>0</v>
      </c>
      <c r="L45" s="72"/>
      <c r="M45" s="341"/>
      <c r="N45" s="697">
        <v>1</v>
      </c>
      <c r="O45" s="575">
        <f>K45*L45*N45</f>
        <v>0</v>
      </c>
      <c r="Q45" s="66">
        <f>(2545*I45)/D45-J45</f>
        <v>0</v>
      </c>
      <c r="R45" s="66">
        <f>(2545*I45)-J45</f>
        <v>0</v>
      </c>
      <c r="S45" s="66">
        <f>(2545*I45)/D45-2545*I45</f>
        <v>0</v>
      </c>
      <c r="T45" s="697"/>
    </row>
    <row r="46" spans="2:20" ht="11.45" customHeight="1" x14ac:dyDescent="0.2">
      <c r="B46" s="17" t="s">
        <v>483</v>
      </c>
      <c r="C46" s="69"/>
      <c r="D46" s="129">
        <v>1</v>
      </c>
      <c r="E46" s="341"/>
      <c r="F46" s="129"/>
      <c r="G46" s="129"/>
      <c r="H46" s="577">
        <f>IF(T46:T47,T46,F46*G46)</f>
        <v>0</v>
      </c>
      <c r="I46" s="141">
        <f>C46*H46</f>
        <v>0</v>
      </c>
      <c r="J46" s="391"/>
      <c r="K46" s="361">
        <f>(E46=1)*Q46+(E46=2)*R46+(E46=3)*S46</f>
        <v>0</v>
      </c>
      <c r="L46" s="72"/>
      <c r="M46" s="341"/>
      <c r="N46" s="697">
        <v>1</v>
      </c>
      <c r="O46" s="575">
        <f>K46*L46*N46</f>
        <v>0</v>
      </c>
      <c r="Q46" s="66">
        <f>(2545*I46)/D46-J46</f>
        <v>0</v>
      </c>
      <c r="R46" s="66">
        <f>(2545*I46)-J46</f>
        <v>0</v>
      </c>
      <c r="S46" s="66">
        <f>(2545*I46)/D46-2545*I46</f>
        <v>0</v>
      </c>
      <c r="T46" s="697"/>
    </row>
    <row r="47" spans="2:20" ht="11.45" customHeight="1" x14ac:dyDescent="0.2">
      <c r="B47" s="17" t="s">
        <v>484</v>
      </c>
      <c r="C47" s="69"/>
      <c r="D47" s="129">
        <v>1</v>
      </c>
      <c r="E47" s="341"/>
      <c r="F47" s="129"/>
      <c r="G47" s="129"/>
      <c r="H47" s="577">
        <f>IF(T47:T47,T47,F47*G47)</f>
        <v>0</v>
      </c>
      <c r="I47" s="141">
        <f>C47*H47</f>
        <v>0</v>
      </c>
      <c r="J47" s="391"/>
      <c r="K47" s="361">
        <f>(E47=1)*Q47+(E47=2)*R47+(E47=3)*S47</f>
        <v>0</v>
      </c>
      <c r="L47" s="72"/>
      <c r="M47" s="341"/>
      <c r="N47" s="697">
        <v>1</v>
      </c>
      <c r="O47" s="575">
        <f>K47*L47*N47</f>
        <v>0</v>
      </c>
      <c r="Q47" s="66">
        <f>(2545*I47)/D47-J47</f>
        <v>0</v>
      </c>
      <c r="R47" s="66">
        <f>(2545*I47)-J47</f>
        <v>0</v>
      </c>
      <c r="S47" s="66">
        <f>(2545*I47)/D47-2545*I47</f>
        <v>0</v>
      </c>
      <c r="T47" s="697"/>
    </row>
    <row r="48" spans="2:20" ht="11.45" customHeight="1" x14ac:dyDescent="0.2">
      <c r="B48" s="18"/>
      <c r="C48" s="19"/>
      <c r="D48" s="342"/>
      <c r="E48" s="342"/>
      <c r="F48" s="343"/>
      <c r="H48" s="1"/>
      <c r="I48" s="1998" t="s">
        <v>439</v>
      </c>
      <c r="J48" s="1999"/>
      <c r="K48" s="1999"/>
      <c r="L48" s="1999"/>
      <c r="M48" s="1999"/>
      <c r="N48" s="1964"/>
      <c r="O48" s="575">
        <f>SUM(O44:O47)</f>
        <v>0</v>
      </c>
      <c r="Q48" s="1"/>
      <c r="R48" s="1"/>
      <c r="S48" s="1"/>
    </row>
    <row r="49" spans="2:21" ht="11.45" customHeight="1" x14ac:dyDescent="0.2">
      <c r="B49" s="2008" t="s">
        <v>914</v>
      </c>
      <c r="C49" s="2005"/>
      <c r="D49" s="2009"/>
      <c r="E49" s="2009"/>
      <c r="F49" s="2009"/>
      <c r="G49" s="2009"/>
      <c r="H49" s="2009"/>
      <c r="I49" s="2009"/>
      <c r="J49" s="2009"/>
      <c r="K49" s="2009"/>
      <c r="L49" s="2009"/>
      <c r="M49" s="2009"/>
      <c r="N49" s="2009"/>
      <c r="O49" s="1384"/>
      <c r="Q49" s="739"/>
      <c r="R49" s="739"/>
      <c r="S49" s="739"/>
      <c r="T49" s="740"/>
      <c r="U49" s="740"/>
    </row>
    <row r="50" spans="2:21" ht="11.45" customHeight="1" x14ac:dyDescent="0.2">
      <c r="B50" s="1385"/>
      <c r="C50" s="1388"/>
      <c r="D50" s="1388"/>
      <c r="E50" s="1388"/>
      <c r="F50" s="1388"/>
      <c r="G50" s="1388"/>
      <c r="H50" s="1388"/>
      <c r="I50" s="1388"/>
      <c r="J50" s="1388"/>
      <c r="K50" s="1388"/>
      <c r="L50" s="1388"/>
      <c r="M50" s="1388"/>
      <c r="N50" s="1388"/>
      <c r="O50" s="1387"/>
      <c r="Q50" s="739"/>
      <c r="R50" s="739"/>
      <c r="S50" s="739"/>
      <c r="T50" s="740"/>
      <c r="U50" s="740"/>
    </row>
    <row r="51" spans="2:21" ht="11.45" customHeight="1" x14ac:dyDescent="0.2">
      <c r="B51" s="2010"/>
      <c r="C51" s="2011"/>
      <c r="D51" s="2011"/>
      <c r="E51" s="2011"/>
      <c r="F51" s="2011"/>
      <c r="G51" s="2011"/>
      <c r="H51" s="2011"/>
      <c r="I51" s="2011"/>
      <c r="J51" s="2011"/>
      <c r="K51" s="2011"/>
      <c r="L51" s="2011"/>
      <c r="M51" s="2011"/>
      <c r="N51" s="2011"/>
      <c r="O51" s="1653"/>
      <c r="Q51" s="739"/>
      <c r="R51" s="739"/>
      <c r="S51" s="739"/>
      <c r="T51" s="740"/>
      <c r="U51" s="740"/>
    </row>
    <row r="52" spans="2:21" ht="8.1" customHeight="1" x14ac:dyDescent="0.2">
      <c r="B52" s="1987"/>
      <c r="C52" s="1988"/>
      <c r="D52" s="2000"/>
      <c r="E52" s="2000"/>
      <c r="F52" s="2000"/>
      <c r="G52" s="2000"/>
      <c r="H52" s="2000"/>
      <c r="I52" s="2000"/>
      <c r="J52" s="2000"/>
      <c r="K52" s="2000"/>
      <c r="L52" s="2000"/>
      <c r="M52" s="2000"/>
      <c r="N52" s="2000"/>
      <c r="O52" s="1350"/>
      <c r="Q52" s="739"/>
      <c r="R52" s="739"/>
      <c r="S52" s="739"/>
      <c r="T52" s="740"/>
      <c r="U52" s="740"/>
    </row>
    <row r="53" spans="2:21" ht="11.45" customHeight="1" x14ac:dyDescent="0.2">
      <c r="B53" s="1996" t="s">
        <v>1007</v>
      </c>
      <c r="C53" s="1997"/>
      <c r="D53" s="1419"/>
      <c r="E53" s="1419"/>
      <c r="F53" s="1419"/>
      <c r="G53" s="1419"/>
      <c r="H53" s="1419"/>
      <c r="I53" s="1419"/>
      <c r="J53" s="1419"/>
      <c r="K53" s="1419"/>
      <c r="L53" s="1419"/>
      <c r="M53" s="1419"/>
      <c r="N53" s="1419"/>
      <c r="O53" s="1350"/>
      <c r="Q53" s="739"/>
      <c r="R53" s="739"/>
      <c r="S53" s="739"/>
      <c r="T53" s="740"/>
      <c r="U53" s="740"/>
    </row>
    <row r="54" spans="2:21" ht="11.45" customHeight="1" x14ac:dyDescent="0.2">
      <c r="B54" s="2004" t="s">
        <v>1008</v>
      </c>
      <c r="C54" s="2005"/>
      <c r="D54" s="2005"/>
      <c r="E54" s="1689"/>
      <c r="F54" s="333" t="s">
        <v>3638</v>
      </c>
      <c r="G54" s="333" t="s">
        <v>3637</v>
      </c>
      <c r="H54" s="334" t="s">
        <v>1010</v>
      </c>
      <c r="I54" s="334" t="s">
        <v>1749</v>
      </c>
      <c r="J54" s="334" t="s">
        <v>1750</v>
      </c>
      <c r="K54" s="334" t="s">
        <v>489</v>
      </c>
      <c r="L54" s="2006" t="s">
        <v>2632</v>
      </c>
      <c r="M54" s="2007"/>
      <c r="N54" s="334" t="s">
        <v>1749</v>
      </c>
      <c r="O54" s="334" t="s">
        <v>1750</v>
      </c>
      <c r="Q54" s="739"/>
      <c r="R54" s="739"/>
      <c r="S54" s="739"/>
      <c r="T54" s="740"/>
      <c r="U54" s="740"/>
    </row>
    <row r="55" spans="2:21" ht="11.45" customHeight="1" x14ac:dyDescent="0.2">
      <c r="B55" s="1420"/>
      <c r="C55" s="1421"/>
      <c r="D55" s="1421"/>
      <c r="E55" s="1691"/>
      <c r="F55" s="335" t="s">
        <v>3639</v>
      </c>
      <c r="G55" s="335" t="s">
        <v>1011</v>
      </c>
      <c r="H55" s="336" t="s">
        <v>1011</v>
      </c>
      <c r="I55" s="335" t="s">
        <v>859</v>
      </c>
      <c r="J55" s="335" t="s">
        <v>859</v>
      </c>
      <c r="K55" s="335" t="s">
        <v>843</v>
      </c>
      <c r="L55" s="334" t="s">
        <v>849</v>
      </c>
      <c r="M55" s="334" t="s">
        <v>1084</v>
      </c>
      <c r="N55" s="335" t="s">
        <v>1053</v>
      </c>
      <c r="O55" s="335" t="s">
        <v>1053</v>
      </c>
      <c r="Q55" s="739"/>
      <c r="R55" s="739"/>
      <c r="S55" s="739"/>
      <c r="T55" s="740"/>
      <c r="U55" s="740"/>
    </row>
    <row r="56" spans="2:21" ht="11.45" customHeight="1" x14ac:dyDescent="0.2">
      <c r="B56" s="1420"/>
      <c r="C56" s="1421"/>
      <c r="D56" s="1421"/>
      <c r="E56" s="1691"/>
      <c r="F56" s="22" t="s">
        <v>3398</v>
      </c>
      <c r="G56" s="337"/>
      <c r="H56" s="22"/>
      <c r="I56" s="22" t="s">
        <v>860</v>
      </c>
      <c r="J56" s="338" t="s">
        <v>860</v>
      </c>
      <c r="K56" s="338"/>
      <c r="L56" s="22"/>
      <c r="M56" s="352" t="s">
        <v>59</v>
      </c>
      <c r="N56" s="338" t="s">
        <v>857</v>
      </c>
      <c r="O56" s="338" t="s">
        <v>856</v>
      </c>
      <c r="Q56" s="739"/>
      <c r="R56" s="739"/>
      <c r="S56" s="739"/>
      <c r="T56" s="740"/>
      <c r="U56" s="740"/>
    </row>
    <row r="57" spans="2:21" ht="11.45" customHeight="1" x14ac:dyDescent="0.2">
      <c r="B57" s="17" t="s">
        <v>481</v>
      </c>
      <c r="C57" s="865"/>
      <c r="D57" s="358"/>
      <c r="E57" s="366"/>
      <c r="F57" s="72"/>
      <c r="G57" s="391"/>
      <c r="H57" s="391"/>
      <c r="I57" s="391"/>
      <c r="J57" s="391"/>
      <c r="K57" s="72"/>
      <c r="L57" s="341"/>
      <c r="M57" s="697">
        <v>1</v>
      </c>
      <c r="N57" s="575">
        <f>K57*I57*M57</f>
        <v>0</v>
      </c>
      <c r="O57" s="575">
        <f>K57*J57</f>
        <v>0</v>
      </c>
      <c r="Q57" s="739"/>
      <c r="R57" s="739"/>
      <c r="S57" s="739"/>
      <c r="T57" s="740"/>
      <c r="U57" s="740"/>
    </row>
    <row r="58" spans="2:21" ht="11.45" customHeight="1" x14ac:dyDescent="0.2">
      <c r="B58" s="17" t="s">
        <v>482</v>
      </c>
      <c r="C58" s="865"/>
      <c r="D58" s="358"/>
      <c r="E58" s="366"/>
      <c r="F58" s="72"/>
      <c r="G58" s="391"/>
      <c r="H58" s="391"/>
      <c r="I58" s="391"/>
      <c r="J58" s="391"/>
      <c r="K58" s="72"/>
      <c r="L58" s="341"/>
      <c r="M58" s="697">
        <v>1</v>
      </c>
      <c r="N58" s="575">
        <f>K58*I58*M58</f>
        <v>0</v>
      </c>
      <c r="O58" s="575">
        <f>K58*J58</f>
        <v>0</v>
      </c>
      <c r="Q58" s="739"/>
      <c r="R58" s="739"/>
      <c r="S58" s="739"/>
      <c r="T58" s="740"/>
      <c r="U58" s="740"/>
    </row>
    <row r="59" spans="2:21" ht="11.45" customHeight="1" x14ac:dyDescent="0.2">
      <c r="B59" s="17" t="s">
        <v>483</v>
      </c>
      <c r="C59" s="865"/>
      <c r="D59" s="358"/>
      <c r="E59" s="366"/>
      <c r="F59" s="72"/>
      <c r="G59" s="391"/>
      <c r="H59" s="391"/>
      <c r="I59" s="391"/>
      <c r="J59" s="391"/>
      <c r="K59" s="72"/>
      <c r="L59" s="341"/>
      <c r="M59" s="697">
        <v>1</v>
      </c>
      <c r="N59" s="575">
        <f>K59*I59*M59</f>
        <v>0</v>
      </c>
      <c r="O59" s="575">
        <f>K59*J59</f>
        <v>0</v>
      </c>
      <c r="Q59" s="739"/>
      <c r="R59" s="739"/>
      <c r="S59" s="739"/>
      <c r="T59" s="740"/>
      <c r="U59" s="740"/>
    </row>
    <row r="60" spans="2:21" ht="11.45" customHeight="1" x14ac:dyDescent="0.2">
      <c r="B60" s="17" t="s">
        <v>484</v>
      </c>
      <c r="C60" s="865"/>
      <c r="D60" s="358"/>
      <c r="E60" s="366"/>
      <c r="F60" s="72"/>
      <c r="G60" s="391"/>
      <c r="H60" s="391"/>
      <c r="I60" s="391"/>
      <c r="J60" s="391"/>
      <c r="K60" s="72"/>
      <c r="L60" s="341"/>
      <c r="M60" s="697">
        <v>1</v>
      </c>
      <c r="N60" s="575">
        <f>K60*I60*M60</f>
        <v>0</v>
      </c>
      <c r="O60" s="575">
        <f>K60*J60</f>
        <v>0</v>
      </c>
      <c r="Q60" s="739"/>
      <c r="R60" s="739"/>
      <c r="S60" s="739"/>
      <c r="T60" s="740"/>
      <c r="U60" s="740"/>
    </row>
    <row r="61" spans="2:21" ht="11.45" customHeight="1" x14ac:dyDescent="0.2">
      <c r="B61" s="1994"/>
      <c r="C61" s="1965"/>
      <c r="D61" s="1999"/>
      <c r="E61" s="1999"/>
      <c r="F61" s="1999"/>
      <c r="G61" s="1999"/>
      <c r="H61" s="1999"/>
      <c r="I61" s="1999"/>
      <c r="J61" s="1999"/>
      <c r="K61" s="2000"/>
      <c r="L61" s="2000"/>
      <c r="M61" s="367" t="s">
        <v>854</v>
      </c>
      <c r="N61" s="575">
        <f>SUM(N57:N60)</f>
        <v>0</v>
      </c>
      <c r="O61" s="575">
        <f>SUM(O57:O60)</f>
        <v>0</v>
      </c>
      <c r="Q61" s="739"/>
      <c r="R61" s="739"/>
      <c r="S61" s="739"/>
      <c r="T61" s="740"/>
      <c r="U61" s="740"/>
    </row>
    <row r="62" spans="2:21" ht="11.45" customHeight="1" x14ac:dyDescent="0.2">
      <c r="B62" s="2001" t="s">
        <v>52</v>
      </c>
      <c r="C62" s="2002"/>
      <c r="D62" s="2002"/>
      <c r="E62" s="2002"/>
      <c r="F62" s="2002"/>
      <c r="G62" s="2002"/>
      <c r="H62" s="2002"/>
      <c r="I62" s="2002"/>
      <c r="J62" s="2002"/>
      <c r="K62" s="2002"/>
      <c r="L62" s="2002"/>
      <c r="M62" s="2002"/>
      <c r="N62" s="2002"/>
      <c r="O62" s="2003"/>
      <c r="Q62" s="739"/>
      <c r="R62" s="739"/>
      <c r="S62" s="739"/>
      <c r="T62" s="740"/>
      <c r="U62" s="740"/>
    </row>
    <row r="63" spans="2:21" ht="8.1" customHeight="1" x14ac:dyDescent="0.2">
      <c r="B63" s="1987"/>
      <c r="C63" s="1988"/>
      <c r="D63" s="2000"/>
      <c r="E63" s="2000"/>
      <c r="F63" s="2000"/>
      <c r="G63" s="2000"/>
      <c r="H63" s="2000"/>
      <c r="I63" s="2000"/>
      <c r="J63" s="2000"/>
      <c r="K63" s="2000"/>
      <c r="L63" s="2000"/>
      <c r="M63" s="2000"/>
      <c r="N63" s="2000"/>
      <c r="O63" s="1350"/>
      <c r="Q63" s="739"/>
      <c r="R63" s="739"/>
      <c r="S63" s="739"/>
      <c r="T63" s="740"/>
      <c r="U63" s="740"/>
    </row>
    <row r="64" spans="2:21" ht="11.45" customHeight="1" x14ac:dyDescent="0.2">
      <c r="B64" s="1996" t="s">
        <v>2750</v>
      </c>
      <c r="C64" s="1997"/>
      <c r="D64" s="1419"/>
      <c r="E64" s="1419"/>
      <c r="F64" s="1419"/>
      <c r="G64" s="1419"/>
      <c r="H64" s="1419"/>
      <c r="I64" s="1419"/>
      <c r="J64" s="1419"/>
      <c r="K64" s="1419"/>
      <c r="L64" s="1419"/>
      <c r="M64" s="1419"/>
      <c r="N64" s="1419"/>
      <c r="O64" s="1350"/>
    </row>
    <row r="65" spans="2:15" ht="11.45" customHeight="1" x14ac:dyDescent="0.2">
      <c r="B65" s="2004" t="s">
        <v>53</v>
      </c>
      <c r="C65" s="2005"/>
      <c r="D65" s="2009"/>
      <c r="E65" s="2009"/>
      <c r="F65" s="1689"/>
      <c r="G65" s="345" t="s">
        <v>1178</v>
      </c>
      <c r="H65" s="346" t="s">
        <v>1005</v>
      </c>
      <c r="I65" s="347" t="s">
        <v>1003</v>
      </c>
      <c r="J65" s="347" t="s">
        <v>1002</v>
      </c>
      <c r="K65" s="347" t="s">
        <v>1000</v>
      </c>
      <c r="L65" s="21" t="s">
        <v>1749</v>
      </c>
      <c r="M65" s="2006" t="s">
        <v>2632</v>
      </c>
      <c r="N65" s="2007"/>
      <c r="O65" s="346" t="s">
        <v>1749</v>
      </c>
    </row>
    <row r="66" spans="2:15" ht="11.45" customHeight="1" x14ac:dyDescent="0.2">
      <c r="B66" s="2028"/>
      <c r="C66" s="2029"/>
      <c r="D66" s="2030"/>
      <c r="E66" s="2029"/>
      <c r="F66" s="1691"/>
      <c r="G66" s="348" t="s">
        <v>1301</v>
      </c>
      <c r="H66" s="349" t="s">
        <v>1006</v>
      </c>
      <c r="I66" s="350" t="s">
        <v>1004</v>
      </c>
      <c r="J66" s="350" t="s">
        <v>3407</v>
      </c>
      <c r="K66" s="350" t="s">
        <v>3513</v>
      </c>
      <c r="L66" s="43" t="s">
        <v>845</v>
      </c>
      <c r="M66" s="334" t="s">
        <v>849</v>
      </c>
      <c r="N66" s="334" t="s">
        <v>1084</v>
      </c>
      <c r="O66" s="349" t="s">
        <v>1053</v>
      </c>
    </row>
    <row r="67" spans="2:15" ht="11.45" customHeight="1" x14ac:dyDescent="0.2">
      <c r="B67" s="2028"/>
      <c r="C67" s="2029"/>
      <c r="D67" s="2029"/>
      <c r="E67" s="2029"/>
      <c r="F67" s="1691"/>
      <c r="G67" s="351"/>
      <c r="H67" s="352"/>
      <c r="I67" s="353"/>
      <c r="J67" s="353" t="s">
        <v>2749</v>
      </c>
      <c r="K67" s="353" t="s">
        <v>1001</v>
      </c>
      <c r="L67" s="22" t="s">
        <v>858</v>
      </c>
      <c r="M67" s="22"/>
      <c r="N67" s="352" t="s">
        <v>59</v>
      </c>
      <c r="O67" s="352" t="s">
        <v>857</v>
      </c>
    </row>
    <row r="68" spans="2:15" ht="11.45" customHeight="1" x14ac:dyDescent="0.2">
      <c r="B68" s="17" t="s">
        <v>481</v>
      </c>
      <c r="C68" s="360"/>
      <c r="D68" s="358"/>
      <c r="E68" s="358"/>
      <c r="F68" s="357"/>
      <c r="G68" s="838"/>
      <c r="H68" s="369"/>
      <c r="I68" s="368"/>
      <c r="J68" s="368"/>
      <c r="K68" s="369"/>
      <c r="L68" s="285">
        <f>IF(J68=0,1.1*G68*K68,1.1*G68*I68*K68)</f>
        <v>0</v>
      </c>
      <c r="M68" s="341"/>
      <c r="N68" s="697">
        <v>1</v>
      </c>
      <c r="O68" s="575">
        <f>L68*N68</f>
        <v>0</v>
      </c>
    </row>
    <row r="69" spans="2:15" ht="11.45" customHeight="1" x14ac:dyDescent="0.2">
      <c r="B69" s="17" t="s">
        <v>482</v>
      </c>
      <c r="C69" s="360"/>
      <c r="D69" s="358"/>
      <c r="E69" s="358"/>
      <c r="F69" s="357"/>
      <c r="G69" s="391"/>
      <c r="H69" s="129"/>
      <c r="I69" s="72"/>
      <c r="J69" s="72"/>
      <c r="K69" s="129"/>
      <c r="L69" s="285">
        <f>IF(J69=0,1.1*G69*K69,1.1*G69*I69*K69)</f>
        <v>0</v>
      </c>
      <c r="M69" s="341"/>
      <c r="N69" s="697">
        <v>1</v>
      </c>
      <c r="O69" s="575">
        <f>L69*N69</f>
        <v>0</v>
      </c>
    </row>
    <row r="70" spans="2:15" ht="11.45" customHeight="1" x14ac:dyDescent="0.2">
      <c r="B70" s="17" t="s">
        <v>483</v>
      </c>
      <c r="C70" s="360"/>
      <c r="D70" s="358"/>
      <c r="E70" s="358"/>
      <c r="F70" s="357"/>
      <c r="G70" s="391"/>
      <c r="H70" s="129"/>
      <c r="I70" s="72"/>
      <c r="J70" s="72"/>
      <c r="K70" s="129"/>
      <c r="L70" s="285">
        <f>IF(J70=0,1.1*G70*K70,1.1*G70*I70*K70)</f>
        <v>0</v>
      </c>
      <c r="M70" s="341"/>
      <c r="N70" s="697">
        <v>1</v>
      </c>
      <c r="O70" s="575">
        <f>L70*N70</f>
        <v>0</v>
      </c>
    </row>
    <row r="71" spans="2:15" ht="11.45" customHeight="1" x14ac:dyDescent="0.2">
      <c r="B71" s="17" t="s">
        <v>484</v>
      </c>
      <c r="C71" s="360"/>
      <c r="D71" s="358"/>
      <c r="E71" s="358"/>
      <c r="F71" s="357"/>
      <c r="G71" s="391"/>
      <c r="H71" s="129"/>
      <c r="I71" s="72"/>
      <c r="J71" s="72"/>
      <c r="K71" s="129"/>
      <c r="L71" s="285">
        <f>IF(J71=0,1.1*G71*K71,1.1*G71*I71*K71)</f>
        <v>0</v>
      </c>
      <c r="M71" s="341"/>
      <c r="N71" s="697">
        <v>1</v>
      </c>
      <c r="O71" s="575">
        <f>L71*N71</f>
        <v>0</v>
      </c>
    </row>
    <row r="72" spans="2:15" ht="11.45" customHeight="1" x14ac:dyDescent="0.2">
      <c r="B72" s="18"/>
      <c r="C72" s="1965" t="s">
        <v>70</v>
      </c>
      <c r="D72" s="1784"/>
      <c r="E72" s="1784"/>
      <c r="F72" s="1784"/>
      <c r="G72" s="1784"/>
      <c r="H72" s="1784"/>
      <c r="I72" s="1784"/>
      <c r="J72" s="1784"/>
      <c r="K72" s="1784"/>
      <c r="L72" s="1784"/>
      <c r="M72" s="1784"/>
      <c r="N72" s="1964"/>
      <c r="O72" s="575">
        <f>SUM(O68:O71)</f>
        <v>0</v>
      </c>
    </row>
    <row r="73" spans="2:15" ht="11.45" customHeight="1" x14ac:dyDescent="0.2">
      <c r="B73" s="1481" t="s">
        <v>2748</v>
      </c>
      <c r="C73" s="1430"/>
      <c r="D73" s="1966"/>
      <c r="E73" s="1966"/>
      <c r="F73" s="1966"/>
      <c r="G73" s="1966"/>
      <c r="H73" s="1966"/>
      <c r="I73" s="1966"/>
      <c r="J73" s="1966"/>
      <c r="K73" s="1966"/>
      <c r="L73" s="1966"/>
      <c r="M73" s="1966"/>
      <c r="N73" s="1966"/>
      <c r="O73" s="1350"/>
    </row>
    <row r="74" spans="2:15" ht="8.1" customHeight="1" x14ac:dyDescent="0.2">
      <c r="B74" s="1987"/>
      <c r="C74" s="1988"/>
      <c r="D74" s="2000"/>
      <c r="E74" s="2000"/>
      <c r="F74" s="2000"/>
      <c r="G74" s="2000"/>
      <c r="H74" s="2000"/>
      <c r="I74" s="2000"/>
      <c r="J74" s="2000"/>
      <c r="K74" s="2000"/>
      <c r="L74" s="2000"/>
      <c r="M74" s="2000"/>
      <c r="N74" s="2000"/>
      <c r="O74" s="1350"/>
    </row>
    <row r="75" spans="2:15" ht="11.45" customHeight="1" x14ac:dyDescent="0.2">
      <c r="B75" s="1996" t="s">
        <v>2751</v>
      </c>
      <c r="C75" s="1997"/>
      <c r="D75" s="1419"/>
      <c r="E75" s="1419"/>
      <c r="F75" s="1419"/>
      <c r="G75" s="1419"/>
      <c r="H75" s="1419"/>
      <c r="I75" s="1419"/>
      <c r="J75" s="1419"/>
      <c r="K75" s="1419"/>
      <c r="L75" s="1419"/>
      <c r="M75" s="1419"/>
      <c r="N75" s="1419"/>
      <c r="O75" s="1350"/>
    </row>
    <row r="76" spans="2:15" ht="11.45" customHeight="1" x14ac:dyDescent="0.2">
      <c r="B76" s="2004" t="s">
        <v>2752</v>
      </c>
      <c r="C76" s="1383"/>
      <c r="D76" s="1383"/>
      <c r="E76" s="1383"/>
      <c r="F76" s="21" t="s">
        <v>2753</v>
      </c>
      <c r="G76" s="345" t="s">
        <v>2753</v>
      </c>
      <c r="H76" s="346" t="s">
        <v>2753</v>
      </c>
      <c r="I76" s="347" t="s">
        <v>1003</v>
      </c>
      <c r="J76" s="347" t="s">
        <v>2753</v>
      </c>
      <c r="K76" s="347" t="s">
        <v>2753</v>
      </c>
      <c r="L76" s="21" t="s">
        <v>1749</v>
      </c>
      <c r="M76" s="2006" t="s">
        <v>2632</v>
      </c>
      <c r="N76" s="2007"/>
      <c r="O76" s="346" t="s">
        <v>1749</v>
      </c>
    </row>
    <row r="77" spans="2:15" ht="11.45" customHeight="1" x14ac:dyDescent="0.2">
      <c r="B77" s="1385"/>
      <c r="C77" s="1386"/>
      <c r="D77" s="1386"/>
      <c r="E77" s="1386"/>
      <c r="F77" s="43" t="s">
        <v>2755</v>
      </c>
      <c r="G77" s="348" t="s">
        <v>945</v>
      </c>
      <c r="H77" s="349" t="s">
        <v>3493</v>
      </c>
      <c r="I77" s="350" t="s">
        <v>1004</v>
      </c>
      <c r="J77" s="350" t="s">
        <v>948</v>
      </c>
      <c r="K77" s="350" t="s">
        <v>3513</v>
      </c>
      <c r="L77" s="43" t="s">
        <v>3376</v>
      </c>
      <c r="M77" s="334" t="s">
        <v>849</v>
      </c>
      <c r="N77" s="334" t="s">
        <v>1084</v>
      </c>
      <c r="O77" s="349" t="s">
        <v>1053</v>
      </c>
    </row>
    <row r="78" spans="2:15" ht="11.45" customHeight="1" x14ac:dyDescent="0.2">
      <c r="B78" s="2010"/>
      <c r="C78" s="2011"/>
      <c r="D78" s="2011"/>
      <c r="E78" s="2011"/>
      <c r="F78" s="22"/>
      <c r="G78" s="351"/>
      <c r="H78" s="352"/>
      <c r="I78" s="353"/>
      <c r="J78" s="353" t="s">
        <v>2806</v>
      </c>
      <c r="K78" s="353" t="s">
        <v>2754</v>
      </c>
      <c r="L78" s="22" t="s">
        <v>3377</v>
      </c>
      <c r="M78" s="22"/>
      <c r="N78" s="352" t="s">
        <v>59</v>
      </c>
      <c r="O78" s="352" t="s">
        <v>857</v>
      </c>
    </row>
    <row r="79" spans="2:15" ht="11.45" customHeight="1" x14ac:dyDescent="0.2">
      <c r="B79" s="17" t="s">
        <v>481</v>
      </c>
      <c r="C79" s="370"/>
      <c r="D79" s="358"/>
      <c r="E79" s="358"/>
      <c r="F79" s="341"/>
      <c r="G79" s="356"/>
      <c r="H79" s="356"/>
      <c r="I79" s="368"/>
      <c r="J79" s="838"/>
      <c r="K79" s="369"/>
      <c r="L79" s="285">
        <f>J79*K79</f>
        <v>0</v>
      </c>
      <c r="M79" s="341"/>
      <c r="N79" s="697">
        <v>1</v>
      </c>
      <c r="O79" s="575">
        <f>L79*N79</f>
        <v>0</v>
      </c>
    </row>
    <row r="80" spans="2:15" ht="11.45" customHeight="1" x14ac:dyDescent="0.2">
      <c r="B80" s="17" t="s">
        <v>482</v>
      </c>
      <c r="C80" s="370"/>
      <c r="D80" s="358"/>
      <c r="E80" s="358"/>
      <c r="F80" s="341"/>
      <c r="G80" s="341"/>
      <c r="H80" s="341"/>
      <c r="I80" s="72"/>
      <c r="J80" s="391"/>
      <c r="K80" s="129"/>
      <c r="L80" s="285">
        <f>J80*K80</f>
        <v>0</v>
      </c>
      <c r="M80" s="341"/>
      <c r="N80" s="697">
        <v>1</v>
      </c>
      <c r="O80" s="575">
        <f>L80*N80</f>
        <v>0</v>
      </c>
    </row>
    <row r="81" spans="2:15" ht="11.45" customHeight="1" x14ac:dyDescent="0.2">
      <c r="B81" s="17" t="s">
        <v>483</v>
      </c>
      <c r="C81" s="370"/>
      <c r="D81" s="358"/>
      <c r="E81" s="358"/>
      <c r="F81" s="341"/>
      <c r="G81" s="341"/>
      <c r="H81" s="341"/>
      <c r="I81" s="72"/>
      <c r="J81" s="391"/>
      <c r="K81" s="129"/>
      <c r="L81" s="285">
        <f>J81*K81</f>
        <v>0</v>
      </c>
      <c r="M81" s="341"/>
      <c r="N81" s="697">
        <v>1</v>
      </c>
      <c r="O81" s="575">
        <f>L81*N81</f>
        <v>0</v>
      </c>
    </row>
    <row r="82" spans="2:15" ht="11.45" customHeight="1" x14ac:dyDescent="0.2">
      <c r="B82" s="17" t="s">
        <v>484</v>
      </c>
      <c r="C82" s="370"/>
      <c r="D82" s="358"/>
      <c r="E82" s="358"/>
      <c r="F82" s="341"/>
      <c r="G82" s="341"/>
      <c r="H82" s="341"/>
      <c r="I82" s="72"/>
      <c r="J82" s="391"/>
      <c r="K82" s="129"/>
      <c r="L82" s="285">
        <f>J82*K82</f>
        <v>0</v>
      </c>
      <c r="M82" s="341"/>
      <c r="N82" s="697">
        <v>1</v>
      </c>
      <c r="O82" s="575">
        <f>L82*N82</f>
        <v>0</v>
      </c>
    </row>
    <row r="83" spans="2:15" ht="11.45" customHeight="1" x14ac:dyDescent="0.2">
      <c r="B83" s="18"/>
      <c r="C83" s="1965" t="s">
        <v>3371</v>
      </c>
      <c r="D83" s="1784"/>
      <c r="E83" s="1784"/>
      <c r="F83" s="1784"/>
      <c r="G83" s="1784"/>
      <c r="H83" s="1784"/>
      <c r="I83" s="1784"/>
      <c r="J83" s="1784"/>
      <c r="K83" s="1784"/>
      <c r="L83" s="1784"/>
      <c r="M83" s="1784"/>
      <c r="N83" s="1964"/>
      <c r="O83" s="575">
        <f>SUM(O79:O82)</f>
        <v>0</v>
      </c>
    </row>
    <row r="84" spans="2:15" ht="11.45" customHeight="1" x14ac:dyDescent="0.2">
      <c r="B84" s="1481" t="s">
        <v>3372</v>
      </c>
      <c r="C84" s="1430"/>
      <c r="D84" s="1966"/>
      <c r="E84" s="1966"/>
      <c r="F84" s="1966"/>
      <c r="G84" s="1966"/>
      <c r="H84" s="1966"/>
      <c r="I84" s="1966"/>
      <c r="J84" s="1966"/>
      <c r="K84" s="1966"/>
      <c r="L84" s="1966"/>
      <c r="M84" s="1966"/>
      <c r="N84" s="1966"/>
      <c r="O84" s="1350"/>
    </row>
    <row r="85" spans="2:15" ht="8.1" customHeight="1" x14ac:dyDescent="0.2">
      <c r="B85" s="1987"/>
      <c r="C85" s="1988"/>
      <c r="D85" s="2000"/>
      <c r="E85" s="2000"/>
      <c r="F85" s="2000"/>
      <c r="G85" s="2000"/>
      <c r="H85" s="2000"/>
      <c r="I85" s="2000"/>
      <c r="J85" s="2000"/>
      <c r="K85" s="2000"/>
      <c r="L85" s="2000"/>
      <c r="M85" s="2000"/>
      <c r="N85" s="2000"/>
      <c r="O85" s="1350"/>
    </row>
    <row r="86" spans="2:15" ht="11.45" customHeight="1" x14ac:dyDescent="0.2">
      <c r="B86" s="1996" t="s">
        <v>3374</v>
      </c>
      <c r="C86" s="1997"/>
      <c r="D86" s="1419"/>
      <c r="E86" s="1419"/>
      <c r="F86" s="1419"/>
      <c r="G86" s="1419"/>
      <c r="H86" s="1419"/>
      <c r="I86" s="1419"/>
      <c r="J86" s="1419"/>
      <c r="K86" s="1419"/>
      <c r="L86" s="1419"/>
      <c r="M86" s="1419"/>
      <c r="N86" s="1419"/>
      <c r="O86" s="1350"/>
    </row>
    <row r="87" spans="2:15" ht="11.45" customHeight="1" x14ac:dyDescent="0.2">
      <c r="B87" s="2004" t="s">
        <v>3373</v>
      </c>
      <c r="C87" s="2005"/>
      <c r="D87" s="2009"/>
      <c r="E87" s="2009"/>
      <c r="F87" s="1689"/>
      <c r="G87" s="345" t="s">
        <v>1178</v>
      </c>
      <c r="H87" s="346" t="s">
        <v>1005</v>
      </c>
      <c r="I87" s="347" t="s">
        <v>1003</v>
      </c>
      <c r="J87" s="347" t="s">
        <v>1002</v>
      </c>
      <c r="K87" s="347" t="s">
        <v>1000</v>
      </c>
      <c r="L87" s="21" t="s">
        <v>1749</v>
      </c>
      <c r="M87" s="2006" t="s">
        <v>2632</v>
      </c>
      <c r="N87" s="2007"/>
      <c r="O87" s="346" t="s">
        <v>1749</v>
      </c>
    </row>
    <row r="88" spans="2:15" ht="11.45" customHeight="1" x14ac:dyDescent="0.2">
      <c r="B88" s="2028"/>
      <c r="C88" s="2029"/>
      <c r="D88" s="2030"/>
      <c r="E88" s="2029"/>
      <c r="F88" s="1691"/>
      <c r="G88" s="348" t="s">
        <v>1301</v>
      </c>
      <c r="H88" s="349" t="s">
        <v>1006</v>
      </c>
      <c r="I88" s="350" t="s">
        <v>1004</v>
      </c>
      <c r="J88" s="350" t="s">
        <v>3407</v>
      </c>
      <c r="K88" s="350" t="s">
        <v>3513</v>
      </c>
      <c r="L88" s="43" t="s">
        <v>845</v>
      </c>
      <c r="M88" s="334" t="s">
        <v>849</v>
      </c>
      <c r="N88" s="334" t="s">
        <v>1084</v>
      </c>
      <c r="O88" s="349" t="s">
        <v>1053</v>
      </c>
    </row>
    <row r="89" spans="2:15" ht="11.45" customHeight="1" x14ac:dyDescent="0.2">
      <c r="B89" s="2028"/>
      <c r="C89" s="2029"/>
      <c r="D89" s="2029"/>
      <c r="E89" s="2029"/>
      <c r="F89" s="1691"/>
      <c r="G89" s="351"/>
      <c r="H89" s="352"/>
      <c r="I89" s="353"/>
      <c r="J89" s="353"/>
      <c r="K89" s="353" t="s">
        <v>3375</v>
      </c>
      <c r="L89" s="22" t="s">
        <v>858</v>
      </c>
      <c r="M89" s="22"/>
      <c r="N89" s="22" t="s">
        <v>3503</v>
      </c>
      <c r="O89" s="352" t="s">
        <v>857</v>
      </c>
    </row>
    <row r="90" spans="2:15" ht="11.45" customHeight="1" x14ac:dyDescent="0.2">
      <c r="B90" s="17" t="s">
        <v>481</v>
      </c>
      <c r="C90" s="360"/>
      <c r="D90" s="358"/>
      <c r="E90" s="358"/>
      <c r="F90" s="357"/>
      <c r="G90" s="838"/>
      <c r="H90" s="369"/>
      <c r="I90" s="368"/>
      <c r="J90" s="368"/>
      <c r="K90" s="369"/>
      <c r="L90" s="285">
        <f>1.1*G90*I90*K90</f>
        <v>0</v>
      </c>
      <c r="M90" s="371" t="s">
        <v>3478</v>
      </c>
      <c r="N90" s="66">
        <v>1</v>
      </c>
      <c r="O90" s="575">
        <f>-L90*N90</f>
        <v>0</v>
      </c>
    </row>
    <row r="91" spans="2:15" ht="11.45" customHeight="1" x14ac:dyDescent="0.2">
      <c r="B91" s="17" t="s">
        <v>482</v>
      </c>
      <c r="C91" s="360"/>
      <c r="D91" s="358"/>
      <c r="E91" s="358"/>
      <c r="F91" s="357"/>
      <c r="G91" s="391"/>
      <c r="H91" s="129"/>
      <c r="I91" s="72"/>
      <c r="J91" s="72"/>
      <c r="K91" s="129"/>
      <c r="L91" s="285">
        <f>1.1*G91*I91*K91</f>
        <v>0</v>
      </c>
      <c r="M91" s="371" t="s">
        <v>3478</v>
      </c>
      <c r="N91" s="66">
        <v>1</v>
      </c>
      <c r="O91" s="575">
        <f>-L91*N91</f>
        <v>0</v>
      </c>
    </row>
    <row r="92" spans="2:15" ht="11.45" customHeight="1" x14ac:dyDescent="0.2">
      <c r="B92" s="17" t="s">
        <v>483</v>
      </c>
      <c r="C92" s="360"/>
      <c r="D92" s="358"/>
      <c r="E92" s="358"/>
      <c r="F92" s="357"/>
      <c r="G92" s="391"/>
      <c r="H92" s="129"/>
      <c r="I92" s="72"/>
      <c r="J92" s="72"/>
      <c r="K92" s="129"/>
      <c r="L92" s="285">
        <f>1.1*G92*I92*K92</f>
        <v>0</v>
      </c>
      <c r="M92" s="371" t="s">
        <v>3478</v>
      </c>
      <c r="N92" s="66">
        <v>1</v>
      </c>
      <c r="O92" s="575">
        <f>-L92*N92</f>
        <v>0</v>
      </c>
    </row>
    <row r="93" spans="2:15" ht="11.45" customHeight="1" x14ac:dyDescent="0.2">
      <c r="B93" s="17" t="s">
        <v>484</v>
      </c>
      <c r="C93" s="360"/>
      <c r="D93" s="358"/>
      <c r="E93" s="358"/>
      <c r="F93" s="357"/>
      <c r="G93" s="391"/>
      <c r="H93" s="129"/>
      <c r="I93" s="72"/>
      <c r="J93" s="72"/>
      <c r="K93" s="129"/>
      <c r="L93" s="285">
        <f>1.1*G93*I93*K93</f>
        <v>0</v>
      </c>
      <c r="M93" s="371" t="s">
        <v>3478</v>
      </c>
      <c r="N93" s="66">
        <v>1</v>
      </c>
      <c r="O93" s="575">
        <f>-L93*N93</f>
        <v>0</v>
      </c>
    </row>
    <row r="94" spans="2:15" ht="11.45" customHeight="1" x14ac:dyDescent="0.2">
      <c r="B94" s="18"/>
      <c r="C94" s="1965" t="s">
        <v>3924</v>
      </c>
      <c r="D94" s="1784"/>
      <c r="E94" s="1784"/>
      <c r="F94" s="1784"/>
      <c r="G94" s="1784"/>
      <c r="H94" s="1784"/>
      <c r="I94" s="1784"/>
      <c r="J94" s="1784"/>
      <c r="K94" s="1784"/>
      <c r="L94" s="1784"/>
      <c r="M94" s="1784"/>
      <c r="N94" s="1964"/>
      <c r="O94" s="575">
        <f>SUM(O90:O93)</f>
        <v>0</v>
      </c>
    </row>
    <row r="95" spans="2:15" ht="11.45" customHeight="1" x14ac:dyDescent="0.2">
      <c r="B95" s="1481" t="s">
        <v>3783</v>
      </c>
      <c r="C95" s="1430"/>
      <c r="D95" s="1966"/>
      <c r="E95" s="1966"/>
      <c r="F95" s="1966"/>
      <c r="G95" s="1966"/>
      <c r="H95" s="1966"/>
      <c r="I95" s="1966"/>
      <c r="J95" s="1966"/>
      <c r="K95" s="1966"/>
      <c r="L95" s="1966"/>
      <c r="M95" s="1966"/>
      <c r="N95" s="1966"/>
      <c r="O95" s="1350"/>
    </row>
    <row r="96" spans="2:15" ht="8.1" customHeight="1" x14ac:dyDescent="0.2">
      <c r="B96" s="1987"/>
      <c r="C96" s="1988"/>
      <c r="D96" s="2000"/>
      <c r="E96" s="2000"/>
      <c r="F96" s="2000"/>
      <c r="G96" s="2000"/>
      <c r="H96" s="2000"/>
      <c r="I96" s="2000"/>
      <c r="J96" s="2000"/>
      <c r="K96" s="2000"/>
      <c r="L96" s="2000"/>
      <c r="M96" s="2000"/>
      <c r="N96" s="2000"/>
      <c r="O96" s="1350"/>
    </row>
    <row r="97" spans="2:15" ht="11.45" customHeight="1" x14ac:dyDescent="0.2">
      <c r="B97" s="1996" t="s">
        <v>3784</v>
      </c>
      <c r="C97" s="1997"/>
      <c r="D97" s="1419"/>
      <c r="E97" s="1419"/>
      <c r="F97" s="1419"/>
      <c r="G97" s="1419"/>
      <c r="H97" s="1419"/>
      <c r="I97" s="1419"/>
      <c r="J97" s="1419"/>
      <c r="K97" s="1419"/>
      <c r="L97" s="1419"/>
      <c r="M97" s="1419"/>
      <c r="N97" s="1419"/>
      <c r="O97" s="1350"/>
    </row>
    <row r="98" spans="2:15" ht="11.45" customHeight="1" x14ac:dyDescent="0.2">
      <c r="B98" s="2004" t="s">
        <v>3926</v>
      </c>
      <c r="C98" s="2005"/>
      <c r="D98" s="2009"/>
      <c r="E98" s="2009"/>
      <c r="F98" s="2045"/>
      <c r="G98" s="1689"/>
      <c r="H98" s="346" t="s">
        <v>3927</v>
      </c>
      <c r="I98" s="347" t="s">
        <v>1749</v>
      </c>
      <c r="J98" s="347" t="s">
        <v>1750</v>
      </c>
      <c r="K98" s="21" t="s">
        <v>1749</v>
      </c>
      <c r="L98" s="2006" t="s">
        <v>2632</v>
      </c>
      <c r="M98" s="2007"/>
      <c r="N98" s="334" t="s">
        <v>1749</v>
      </c>
      <c r="O98" s="334" t="s">
        <v>1750</v>
      </c>
    </row>
    <row r="99" spans="2:15" ht="11.45" customHeight="1" x14ac:dyDescent="0.2">
      <c r="B99" s="2028"/>
      <c r="C99" s="2029"/>
      <c r="D99" s="2030"/>
      <c r="E99" s="2029"/>
      <c r="F99" s="2046"/>
      <c r="G99" s="1691"/>
      <c r="H99" s="349" t="s">
        <v>1178</v>
      </c>
      <c r="I99" s="350" t="s">
        <v>3513</v>
      </c>
      <c r="J99" s="350" t="s">
        <v>3513</v>
      </c>
      <c r="K99" s="43" t="s">
        <v>3376</v>
      </c>
      <c r="L99" s="334" t="s">
        <v>849</v>
      </c>
      <c r="M99" s="334" t="s">
        <v>1084</v>
      </c>
      <c r="N99" s="335" t="s">
        <v>1053</v>
      </c>
      <c r="O99" s="335" t="s">
        <v>1053</v>
      </c>
    </row>
    <row r="100" spans="2:15" ht="11.45" customHeight="1" x14ac:dyDescent="0.2">
      <c r="B100" s="2047"/>
      <c r="C100" s="2048"/>
      <c r="D100" s="2048"/>
      <c r="E100" s="2048"/>
      <c r="F100" s="1986"/>
      <c r="G100" s="1693"/>
      <c r="H100" s="352" t="s">
        <v>1301</v>
      </c>
      <c r="I100" s="353" t="s">
        <v>3785</v>
      </c>
      <c r="J100" s="353" t="s">
        <v>3785</v>
      </c>
      <c r="K100" s="22" t="s">
        <v>3377</v>
      </c>
      <c r="L100" s="22"/>
      <c r="M100" s="22" t="s">
        <v>3503</v>
      </c>
      <c r="N100" s="338" t="s">
        <v>857</v>
      </c>
      <c r="O100" s="338" t="s">
        <v>856</v>
      </c>
    </row>
    <row r="101" spans="2:15" ht="11.45" customHeight="1" x14ac:dyDescent="0.2">
      <c r="B101" s="17" t="s">
        <v>481</v>
      </c>
      <c r="C101" s="360"/>
      <c r="D101" s="358"/>
      <c r="E101" s="358"/>
      <c r="F101" s="372"/>
      <c r="G101" s="344"/>
      <c r="H101" s="368"/>
      <c r="I101" s="368"/>
      <c r="J101" s="368"/>
      <c r="K101" s="285">
        <f>H101*I101</f>
        <v>0</v>
      </c>
      <c r="L101" s="371" t="s">
        <v>3478</v>
      </c>
      <c r="M101" s="66">
        <v>1</v>
      </c>
      <c r="N101" s="575">
        <f>-K101</f>
        <v>0</v>
      </c>
      <c r="O101" s="575">
        <f>-H101*J101</f>
        <v>0</v>
      </c>
    </row>
    <row r="102" spans="2:15" ht="11.45" customHeight="1" x14ac:dyDescent="0.2">
      <c r="B102" s="17" t="s">
        <v>482</v>
      </c>
      <c r="C102" s="360"/>
      <c r="D102" s="358"/>
      <c r="E102" s="358"/>
      <c r="F102" s="372"/>
      <c r="G102" s="344"/>
      <c r="H102" s="72"/>
      <c r="I102" s="72"/>
      <c r="J102" s="72"/>
      <c r="K102" s="285">
        <f>H102*I102</f>
        <v>0</v>
      </c>
      <c r="L102" s="371" t="s">
        <v>3478</v>
      </c>
      <c r="M102" s="66">
        <v>1</v>
      </c>
      <c r="N102" s="575">
        <f>-K102</f>
        <v>0</v>
      </c>
      <c r="O102" s="575">
        <f>-H102*J102</f>
        <v>0</v>
      </c>
    </row>
    <row r="103" spans="2:15" ht="11.45" customHeight="1" x14ac:dyDescent="0.2">
      <c r="B103" s="17" t="s">
        <v>483</v>
      </c>
      <c r="C103" s="360"/>
      <c r="D103" s="358"/>
      <c r="E103" s="358"/>
      <c r="F103" s="372"/>
      <c r="G103" s="344"/>
      <c r="H103" s="72"/>
      <c r="I103" s="72"/>
      <c r="J103" s="72"/>
      <c r="K103" s="285">
        <f>H103*I103</f>
        <v>0</v>
      </c>
      <c r="L103" s="371" t="s">
        <v>3478</v>
      </c>
      <c r="M103" s="66">
        <v>1</v>
      </c>
      <c r="N103" s="575">
        <f>-K103</f>
        <v>0</v>
      </c>
      <c r="O103" s="575">
        <f>-H103*J103</f>
        <v>0</v>
      </c>
    </row>
    <row r="104" spans="2:15" ht="11.45" customHeight="1" x14ac:dyDescent="0.2">
      <c r="B104" s="17" t="s">
        <v>484</v>
      </c>
      <c r="C104" s="360"/>
      <c r="D104" s="358"/>
      <c r="E104" s="358"/>
      <c r="F104" s="372"/>
      <c r="G104" s="344"/>
      <c r="H104" s="72"/>
      <c r="I104" s="72"/>
      <c r="J104" s="72"/>
      <c r="K104" s="285">
        <f>H104*I104</f>
        <v>0</v>
      </c>
      <c r="L104" s="371" t="s">
        <v>3478</v>
      </c>
      <c r="M104" s="66">
        <v>1</v>
      </c>
      <c r="N104" s="575">
        <f>-K104</f>
        <v>0</v>
      </c>
      <c r="O104" s="575">
        <f>-H104*J104</f>
        <v>0</v>
      </c>
    </row>
    <row r="105" spans="2:15" ht="11.45" customHeight="1" x14ac:dyDescent="0.2">
      <c r="B105" s="18"/>
      <c r="C105" s="1965" t="s">
        <v>3925</v>
      </c>
      <c r="D105" s="1965"/>
      <c r="E105" s="1965"/>
      <c r="F105" s="1965"/>
      <c r="G105" s="1965"/>
      <c r="H105" s="1965"/>
      <c r="I105" s="1965"/>
      <c r="J105" s="1965"/>
      <c r="K105" s="1965"/>
      <c r="L105" s="1965"/>
      <c r="M105" s="1965"/>
      <c r="N105" s="575">
        <f>SUM(N101:N104)</f>
        <v>0</v>
      </c>
      <c r="O105" s="575">
        <f>SUM(O101:O104)</f>
        <v>0</v>
      </c>
    </row>
    <row r="106" spans="2:15" ht="11.45" customHeight="1" x14ac:dyDescent="0.2">
      <c r="B106" s="1481" t="s">
        <v>54</v>
      </c>
      <c r="C106" s="1430"/>
      <c r="D106" s="1966"/>
      <c r="E106" s="1966"/>
      <c r="F106" s="1966"/>
      <c r="G106" s="1966"/>
      <c r="H106" s="1966"/>
      <c r="I106" s="1966"/>
      <c r="J106" s="1966"/>
      <c r="K106" s="1966"/>
      <c r="L106" s="1966"/>
      <c r="M106" s="1966"/>
      <c r="N106" s="1966"/>
      <c r="O106" s="1350"/>
    </row>
    <row r="107" spans="2:15" ht="8.1" customHeight="1" x14ac:dyDescent="0.2">
      <c r="B107" s="1987"/>
      <c r="C107" s="1988"/>
      <c r="D107" s="2000"/>
      <c r="E107" s="2000"/>
      <c r="F107" s="2000"/>
      <c r="G107" s="2000"/>
      <c r="H107" s="2000"/>
      <c r="I107" s="2000"/>
      <c r="J107" s="2000"/>
      <c r="K107" s="2000"/>
      <c r="L107" s="2000"/>
      <c r="M107" s="2000"/>
      <c r="N107" s="2000"/>
      <c r="O107" s="1350"/>
    </row>
    <row r="108" spans="2:15" ht="11.45" customHeight="1" x14ac:dyDescent="0.2">
      <c r="B108" s="1996" t="s">
        <v>4137</v>
      </c>
      <c r="C108" s="1997"/>
      <c r="D108" s="1419"/>
      <c r="E108" s="1419"/>
      <c r="F108" s="1419"/>
      <c r="G108" s="1419"/>
      <c r="H108" s="1419"/>
      <c r="I108" s="1419"/>
      <c r="J108" s="1419"/>
      <c r="K108" s="1419"/>
      <c r="L108" s="1419"/>
      <c r="M108" s="1419"/>
      <c r="N108" s="1419"/>
      <c r="O108" s="1350"/>
    </row>
    <row r="109" spans="2:15" ht="11.45" customHeight="1" x14ac:dyDescent="0.2">
      <c r="B109" s="2004" t="s">
        <v>4138</v>
      </c>
      <c r="C109" s="1383"/>
      <c r="D109" s="1383"/>
      <c r="E109" s="1383"/>
      <c r="F109" s="345" t="s">
        <v>1720</v>
      </c>
      <c r="G109" s="345" t="s">
        <v>1718</v>
      </c>
      <c r="H109" s="346" t="s">
        <v>4143</v>
      </c>
      <c r="I109" s="347" t="s">
        <v>4141</v>
      </c>
      <c r="J109" s="347" t="s">
        <v>1749</v>
      </c>
      <c r="K109" s="347" t="s">
        <v>1750</v>
      </c>
      <c r="L109" s="2049" t="s">
        <v>2632</v>
      </c>
      <c r="M109" s="2007"/>
      <c r="N109" s="334" t="s">
        <v>1749</v>
      </c>
      <c r="O109" s="334" t="s">
        <v>1750</v>
      </c>
    </row>
    <row r="110" spans="2:15" ht="11.45" customHeight="1" x14ac:dyDescent="0.2">
      <c r="B110" s="1385"/>
      <c r="C110" s="1386"/>
      <c r="D110" s="1386"/>
      <c r="E110" s="1386"/>
      <c r="F110" s="348" t="s">
        <v>1721</v>
      </c>
      <c r="G110" s="348" t="s">
        <v>1719</v>
      </c>
      <c r="H110" s="349" t="s">
        <v>2753</v>
      </c>
      <c r="I110" s="350" t="s">
        <v>4142</v>
      </c>
      <c r="J110" s="350" t="s">
        <v>3513</v>
      </c>
      <c r="K110" s="350" t="s">
        <v>3513</v>
      </c>
      <c r="L110" s="334" t="s">
        <v>849</v>
      </c>
      <c r="M110" s="334" t="s">
        <v>1084</v>
      </c>
      <c r="N110" s="335" t="s">
        <v>1053</v>
      </c>
      <c r="O110" s="335" t="s">
        <v>1053</v>
      </c>
    </row>
    <row r="111" spans="2:15" ht="11.45" customHeight="1" x14ac:dyDescent="0.2">
      <c r="B111" s="1385"/>
      <c r="C111" s="1386"/>
      <c r="D111" s="1386"/>
      <c r="E111" s="1386"/>
      <c r="F111" s="348" t="s">
        <v>1722</v>
      </c>
      <c r="G111" s="348" t="s">
        <v>1004</v>
      </c>
      <c r="H111" s="349" t="s">
        <v>1717</v>
      </c>
      <c r="I111" s="350" t="s">
        <v>1004</v>
      </c>
      <c r="J111" s="350" t="s">
        <v>4139</v>
      </c>
      <c r="K111" s="350" t="s">
        <v>4139</v>
      </c>
      <c r="L111" s="43"/>
      <c r="M111" s="22" t="s">
        <v>3503</v>
      </c>
      <c r="N111" s="335" t="s">
        <v>857</v>
      </c>
      <c r="O111" s="335" t="s">
        <v>856</v>
      </c>
    </row>
    <row r="112" spans="2:15" ht="11.45" customHeight="1" x14ac:dyDescent="0.2">
      <c r="B112" s="2010"/>
      <c r="C112" s="2011"/>
      <c r="D112" s="2011"/>
      <c r="E112" s="2011"/>
      <c r="F112" s="351"/>
      <c r="G112" s="351"/>
      <c r="H112" s="352"/>
      <c r="I112" s="353"/>
      <c r="J112" s="353" t="s">
        <v>4140</v>
      </c>
      <c r="K112" s="22" t="s">
        <v>4140</v>
      </c>
      <c r="L112" s="61"/>
      <c r="M112" s="61"/>
      <c r="N112" s="61"/>
      <c r="O112" s="61"/>
    </row>
    <row r="113" spans="2:15" ht="11.45" customHeight="1" x14ac:dyDescent="0.2">
      <c r="B113" s="17" t="s">
        <v>481</v>
      </c>
      <c r="C113" s="375" t="s">
        <v>430</v>
      </c>
      <c r="D113" s="374"/>
      <c r="E113" s="373"/>
      <c r="F113" s="838"/>
      <c r="G113" s="838"/>
      <c r="H113" s="839"/>
      <c r="I113" s="376"/>
      <c r="J113" s="369"/>
      <c r="K113" s="369"/>
      <c r="L113" s="371" t="s">
        <v>3478</v>
      </c>
      <c r="M113" s="66">
        <v>1</v>
      </c>
      <c r="N113" s="575">
        <f>0.45*F113*G113</f>
        <v>0</v>
      </c>
      <c r="O113" s="575">
        <f>1050*F113</f>
        <v>0</v>
      </c>
    </row>
    <row r="114" spans="2:15" ht="11.45" customHeight="1" x14ac:dyDescent="0.2">
      <c r="B114" s="17" t="s">
        <v>482</v>
      </c>
      <c r="C114" s="375" t="s">
        <v>431</v>
      </c>
      <c r="D114" s="374"/>
      <c r="E114" s="373"/>
      <c r="F114" s="391"/>
      <c r="G114" s="391"/>
      <c r="H114" s="713"/>
      <c r="I114" s="377"/>
      <c r="J114" s="129"/>
      <c r="K114" s="129"/>
      <c r="L114" s="371" t="s">
        <v>3478</v>
      </c>
      <c r="M114" s="66">
        <v>1</v>
      </c>
      <c r="N114" s="575">
        <f>0.45*F114*G114</f>
        <v>0</v>
      </c>
      <c r="O114" s="575">
        <f>1050*F114</f>
        <v>0</v>
      </c>
    </row>
    <row r="115" spans="2:15" ht="11.45" customHeight="1" x14ac:dyDescent="0.2">
      <c r="B115" s="17" t="s">
        <v>483</v>
      </c>
      <c r="C115" s="375" t="s">
        <v>3902</v>
      </c>
      <c r="D115" s="374"/>
      <c r="E115" s="373"/>
      <c r="F115" s="574"/>
      <c r="G115" s="574"/>
      <c r="H115" s="391"/>
      <c r="I115" s="72"/>
      <c r="J115" s="378"/>
      <c r="K115" s="129"/>
      <c r="L115" s="371" t="s">
        <v>3478</v>
      </c>
      <c r="M115" s="66">
        <v>1</v>
      </c>
      <c r="N115" s="574"/>
      <c r="O115" s="575">
        <f>H115*K115</f>
        <v>0</v>
      </c>
    </row>
    <row r="116" spans="2:15" ht="11.45" customHeight="1" x14ac:dyDescent="0.2">
      <c r="B116" s="17" t="s">
        <v>484</v>
      </c>
      <c r="C116" s="375" t="s">
        <v>3903</v>
      </c>
      <c r="D116" s="374"/>
      <c r="E116" s="373"/>
      <c r="F116" s="574"/>
      <c r="G116" s="574"/>
      <c r="H116" s="391"/>
      <c r="I116" s="72"/>
      <c r="J116" s="378"/>
      <c r="K116" s="129"/>
      <c r="L116" s="371" t="s">
        <v>3478</v>
      </c>
      <c r="M116" s="66">
        <v>1</v>
      </c>
      <c r="N116" s="574"/>
      <c r="O116" s="575">
        <f>H116*K116</f>
        <v>0</v>
      </c>
    </row>
    <row r="117" spans="2:15" ht="11.45" customHeight="1" x14ac:dyDescent="0.2">
      <c r="B117" s="1783" t="s">
        <v>429</v>
      </c>
      <c r="C117" s="1784"/>
      <c r="D117" s="1784"/>
      <c r="E117" s="1784"/>
      <c r="F117" s="1784"/>
      <c r="G117" s="1784"/>
      <c r="H117" s="1784"/>
      <c r="I117" s="1784"/>
      <c r="J117" s="1784"/>
      <c r="K117" s="1784"/>
      <c r="L117" s="1784"/>
      <c r="M117" s="1964"/>
      <c r="N117" s="682">
        <f>N113+N114</f>
        <v>0</v>
      </c>
      <c r="O117" s="575">
        <f>SUM(O113:O116)</f>
        <v>0</v>
      </c>
    </row>
    <row r="118" spans="2:15" ht="11.45" customHeight="1" x14ac:dyDescent="0.2">
      <c r="B118" s="1481" t="s">
        <v>428</v>
      </c>
      <c r="C118" s="1430"/>
      <c r="D118" s="1966"/>
      <c r="E118" s="1966"/>
      <c r="F118" s="1966"/>
      <c r="G118" s="1966"/>
      <c r="H118" s="1966"/>
      <c r="I118" s="1966"/>
      <c r="J118" s="1966"/>
      <c r="K118" s="1966"/>
      <c r="L118" s="1966"/>
      <c r="M118" s="1966"/>
      <c r="N118" s="1966"/>
      <c r="O118" s="1350"/>
    </row>
    <row r="119" spans="2:15" ht="8.1" customHeight="1" x14ac:dyDescent="0.2">
      <c r="B119" s="1987"/>
      <c r="C119" s="1988"/>
      <c r="D119" s="2000"/>
      <c r="E119" s="2000"/>
      <c r="F119" s="2000"/>
      <c r="G119" s="2000"/>
      <c r="H119" s="2000"/>
      <c r="I119" s="2000"/>
      <c r="J119" s="2000"/>
      <c r="K119" s="2000"/>
      <c r="L119" s="2000"/>
      <c r="M119" s="2000"/>
      <c r="N119" s="2000"/>
      <c r="O119" s="1350"/>
    </row>
    <row r="120" spans="2:15" ht="11.45" customHeight="1" x14ac:dyDescent="0.2">
      <c r="B120" s="1996" t="s">
        <v>4133</v>
      </c>
      <c r="C120" s="1997"/>
      <c r="D120" s="1419"/>
      <c r="E120" s="1419"/>
      <c r="F120" s="1419"/>
      <c r="G120" s="1419"/>
      <c r="H120" s="1419"/>
      <c r="I120" s="1419"/>
      <c r="J120" s="1419"/>
      <c r="K120" s="1419"/>
      <c r="L120" s="1419"/>
      <c r="M120" s="1419"/>
      <c r="N120" s="1419"/>
      <c r="O120" s="1350"/>
    </row>
    <row r="121" spans="2:15" ht="11.45" customHeight="1" x14ac:dyDescent="0.2">
      <c r="B121" s="2004" t="s">
        <v>4136</v>
      </c>
      <c r="C121" s="2005"/>
      <c r="D121" s="2005"/>
      <c r="E121" s="2005"/>
      <c r="F121" s="2051"/>
      <c r="G121" s="2051"/>
      <c r="H121" s="2045"/>
      <c r="I121" s="2045"/>
      <c r="J121" s="2045"/>
      <c r="K121" s="1689"/>
      <c r="L121" s="333" t="s">
        <v>3794</v>
      </c>
      <c r="M121" s="333" t="s">
        <v>1750</v>
      </c>
      <c r="N121" s="333" t="s">
        <v>489</v>
      </c>
      <c r="O121" s="334" t="s">
        <v>1750</v>
      </c>
    </row>
    <row r="122" spans="2:15" ht="11.45" customHeight="1" x14ac:dyDescent="0.2">
      <c r="B122" s="1420"/>
      <c r="C122" s="1421"/>
      <c r="D122" s="2052"/>
      <c r="E122" s="1421"/>
      <c r="F122" s="2053"/>
      <c r="G122" s="2053"/>
      <c r="H122" s="2054"/>
      <c r="I122" s="2054"/>
      <c r="J122" s="2054"/>
      <c r="K122" s="1691"/>
      <c r="L122" s="336"/>
      <c r="M122" s="336" t="s">
        <v>4128</v>
      </c>
      <c r="N122" s="336" t="s">
        <v>843</v>
      </c>
      <c r="O122" s="335" t="s">
        <v>1053</v>
      </c>
    </row>
    <row r="123" spans="2:15" ht="11.45" customHeight="1" x14ac:dyDescent="0.2">
      <c r="B123" s="1423"/>
      <c r="C123" s="1424"/>
      <c r="D123" s="1424"/>
      <c r="E123" s="1424"/>
      <c r="F123" s="2055"/>
      <c r="G123" s="2055"/>
      <c r="H123" s="1986"/>
      <c r="I123" s="1986"/>
      <c r="J123" s="1986"/>
      <c r="K123" s="1693"/>
      <c r="L123" s="22"/>
      <c r="M123" s="22" t="s">
        <v>4129</v>
      </c>
      <c r="N123" s="379"/>
      <c r="O123" s="338" t="s">
        <v>856</v>
      </c>
    </row>
    <row r="124" spans="2:15" ht="11.45" customHeight="1" x14ac:dyDescent="0.2">
      <c r="B124" s="17" t="s">
        <v>481</v>
      </c>
      <c r="C124" s="1991"/>
      <c r="D124" s="1992"/>
      <c r="E124" s="1992"/>
      <c r="F124" s="1992"/>
      <c r="G124" s="1992"/>
      <c r="H124" s="1992"/>
      <c r="I124" s="1992"/>
      <c r="J124" s="1992"/>
      <c r="K124" s="1993"/>
      <c r="L124" s="371" t="s">
        <v>4130</v>
      </c>
      <c r="M124" s="339">
        <v>10</v>
      </c>
      <c r="N124" s="72">
        <f>InternalI!B32</f>
        <v>0</v>
      </c>
      <c r="O124" s="575">
        <f>M124*N124</f>
        <v>0</v>
      </c>
    </row>
    <row r="125" spans="2:15" ht="11.45" customHeight="1" x14ac:dyDescent="0.2">
      <c r="B125" s="17" t="s">
        <v>482</v>
      </c>
      <c r="C125" s="1991"/>
      <c r="D125" s="1992"/>
      <c r="E125" s="1992"/>
      <c r="F125" s="1992"/>
      <c r="G125" s="1992"/>
      <c r="H125" s="1992"/>
      <c r="I125" s="1992"/>
      <c r="J125" s="1992"/>
      <c r="K125" s="1993"/>
      <c r="L125" s="371" t="s">
        <v>4131</v>
      </c>
      <c r="M125" s="339">
        <v>20</v>
      </c>
      <c r="N125" s="72">
        <f>InternalI!B33</f>
        <v>0</v>
      </c>
      <c r="O125" s="575">
        <f>M125*N125</f>
        <v>0</v>
      </c>
    </row>
    <row r="126" spans="2:15" ht="11.45" customHeight="1" x14ac:dyDescent="0.2">
      <c r="B126" s="17" t="s">
        <v>483</v>
      </c>
      <c r="C126" s="1991"/>
      <c r="D126" s="1992"/>
      <c r="E126" s="1992"/>
      <c r="F126" s="1992"/>
      <c r="G126" s="1992"/>
      <c r="H126" s="1992"/>
      <c r="I126" s="1992"/>
      <c r="J126" s="1992"/>
      <c r="K126" s="1993"/>
      <c r="L126" s="371" t="s">
        <v>4132</v>
      </c>
      <c r="M126" s="339">
        <v>30</v>
      </c>
      <c r="N126" s="72">
        <f>InternalI!B34</f>
        <v>0</v>
      </c>
      <c r="O126" s="575">
        <f>M126*N126</f>
        <v>0</v>
      </c>
    </row>
    <row r="127" spans="2:15" ht="11.45" customHeight="1" x14ac:dyDescent="0.2">
      <c r="B127" s="18"/>
      <c r="C127" s="1965" t="s">
        <v>4134</v>
      </c>
      <c r="D127" s="1965"/>
      <c r="E127" s="1965"/>
      <c r="F127" s="1965"/>
      <c r="G127" s="1965"/>
      <c r="H127" s="1965"/>
      <c r="I127" s="1965"/>
      <c r="J127" s="1965"/>
      <c r="K127" s="1965"/>
      <c r="L127" s="1965"/>
      <c r="M127" s="1965"/>
      <c r="N127" s="1350"/>
      <c r="O127" s="575">
        <f>SUM(O124:O126)</f>
        <v>0</v>
      </c>
    </row>
    <row r="128" spans="2:15" ht="11.45" customHeight="1" x14ac:dyDescent="0.2">
      <c r="B128" s="1481" t="s">
        <v>4135</v>
      </c>
      <c r="C128" s="1430"/>
      <c r="D128" s="1430"/>
      <c r="E128" s="1430"/>
      <c r="F128" s="1430"/>
      <c r="G128" s="1430"/>
      <c r="H128" s="1430"/>
      <c r="I128" s="1430"/>
      <c r="J128" s="1430"/>
      <c r="K128" s="1430"/>
      <c r="L128" s="1430"/>
      <c r="M128" s="1430"/>
      <c r="N128" s="1430"/>
      <c r="O128" s="1990"/>
    </row>
    <row r="129" spans="2:15" ht="8.1" customHeight="1" x14ac:dyDescent="0.2">
      <c r="B129" s="1987"/>
      <c r="C129" s="1988"/>
      <c r="D129" s="1989"/>
      <c r="E129" s="1989"/>
      <c r="F129" s="1989"/>
      <c r="G129" s="1989"/>
      <c r="H129" s="1989"/>
      <c r="I129" s="1989"/>
      <c r="J129" s="1989"/>
      <c r="K129" s="1989"/>
      <c r="L129" s="1989"/>
      <c r="M129" s="1989"/>
      <c r="N129" s="1989"/>
      <c r="O129" s="1990"/>
    </row>
    <row r="130" spans="2:15" ht="11.45" customHeight="1" x14ac:dyDescent="0.2">
      <c r="B130" s="1996" t="s">
        <v>2275</v>
      </c>
      <c r="C130" s="1997"/>
      <c r="D130" s="1419"/>
      <c r="E130" s="1419"/>
      <c r="F130" s="1419"/>
      <c r="G130" s="1419"/>
      <c r="H130" s="1419"/>
      <c r="I130" s="1419"/>
      <c r="J130" s="1419"/>
      <c r="K130" s="1419"/>
      <c r="L130" s="1419"/>
      <c r="M130" s="1419"/>
      <c r="N130" s="1419"/>
      <c r="O130" s="1350"/>
    </row>
    <row r="131" spans="2:15" ht="11.45" customHeight="1" x14ac:dyDescent="0.2">
      <c r="B131" s="1976" t="s">
        <v>2273</v>
      </c>
      <c r="C131" s="1977"/>
      <c r="D131" s="1978"/>
      <c r="E131" s="1978"/>
      <c r="F131" s="1979"/>
      <c r="G131" s="1980"/>
      <c r="H131" s="346" t="s">
        <v>2270</v>
      </c>
      <c r="I131" s="347" t="s">
        <v>2266</v>
      </c>
      <c r="J131" s="347" t="s">
        <v>2263</v>
      </c>
      <c r="K131" s="346" t="s">
        <v>2266</v>
      </c>
      <c r="L131" s="381" t="s">
        <v>2263</v>
      </c>
      <c r="M131" s="381" t="s">
        <v>1289</v>
      </c>
      <c r="N131" s="380" t="s">
        <v>1749</v>
      </c>
      <c r="O131" s="380" t="s">
        <v>1750</v>
      </c>
    </row>
    <row r="132" spans="2:15" ht="11.45" customHeight="1" x14ac:dyDescent="0.2">
      <c r="B132" s="1981"/>
      <c r="C132" s="1982"/>
      <c r="D132" s="1983"/>
      <c r="E132" s="1982"/>
      <c r="F132" s="1984"/>
      <c r="G132" s="1985"/>
      <c r="H132" s="349" t="s">
        <v>2271</v>
      </c>
      <c r="I132" s="350" t="s">
        <v>2268</v>
      </c>
      <c r="J132" s="350" t="s">
        <v>2267</v>
      </c>
      <c r="K132" s="349" t="s">
        <v>2264</v>
      </c>
      <c r="L132" s="383" t="s">
        <v>3513</v>
      </c>
      <c r="M132" s="383" t="s">
        <v>1290</v>
      </c>
      <c r="N132" s="382" t="s">
        <v>1053</v>
      </c>
      <c r="O132" s="382" t="s">
        <v>1053</v>
      </c>
    </row>
    <row r="133" spans="2:15" ht="11.45" customHeight="1" x14ac:dyDescent="0.2">
      <c r="B133" s="1981"/>
      <c r="C133" s="1982"/>
      <c r="D133" s="1982"/>
      <c r="E133" s="1982"/>
      <c r="F133" s="1984"/>
      <c r="G133" s="1985"/>
      <c r="H133" s="349" t="s">
        <v>2272</v>
      </c>
      <c r="I133" s="350" t="s">
        <v>945</v>
      </c>
      <c r="J133" s="350" t="s">
        <v>2268</v>
      </c>
      <c r="K133" s="349" t="s">
        <v>945</v>
      </c>
      <c r="L133" s="349" t="s">
        <v>2264</v>
      </c>
      <c r="M133" s="349" t="s">
        <v>2261</v>
      </c>
      <c r="N133" s="382" t="s">
        <v>857</v>
      </c>
      <c r="O133" s="382" t="s">
        <v>856</v>
      </c>
    </row>
    <row r="134" spans="2:15" ht="11.45" customHeight="1" x14ac:dyDescent="0.2">
      <c r="B134" s="1692"/>
      <c r="C134" s="1986"/>
      <c r="D134" s="1986"/>
      <c r="E134" s="1986"/>
      <c r="F134" s="1986"/>
      <c r="G134" s="1693"/>
      <c r="H134" s="351"/>
      <c r="I134" s="353"/>
      <c r="J134" s="353" t="s">
        <v>2269</v>
      </c>
      <c r="K134" s="353"/>
      <c r="L134" s="384" t="s">
        <v>2265</v>
      </c>
      <c r="M134" s="385" t="s">
        <v>2262</v>
      </c>
      <c r="N134" s="353"/>
      <c r="O134" s="353"/>
    </row>
    <row r="135" spans="2:15" ht="11.45" customHeight="1" x14ac:dyDescent="0.2">
      <c r="B135" s="17" t="s">
        <v>481</v>
      </c>
      <c r="C135" s="330"/>
      <c r="D135" s="358"/>
      <c r="E135" s="358"/>
      <c r="F135" s="358"/>
      <c r="G135" s="354"/>
      <c r="H135" s="576"/>
      <c r="I135" s="72"/>
      <c r="J135" s="69"/>
      <c r="K135" s="72"/>
      <c r="L135" s="69"/>
      <c r="M135" s="141">
        <f>H135*(J135-L135)</f>
        <v>0</v>
      </c>
      <c r="N135" s="575">
        <f>-O135</f>
        <v>0</v>
      </c>
      <c r="O135" s="575">
        <f>1050*M135</f>
        <v>0</v>
      </c>
    </row>
    <row r="136" spans="2:15" ht="11.45" customHeight="1" x14ac:dyDescent="0.2">
      <c r="B136" s="17" t="s">
        <v>482</v>
      </c>
      <c r="C136" s="330"/>
      <c r="D136" s="358"/>
      <c r="E136" s="358"/>
      <c r="F136" s="358"/>
      <c r="G136" s="354"/>
      <c r="H136" s="576"/>
      <c r="I136" s="72"/>
      <c r="J136" s="69"/>
      <c r="K136" s="72"/>
      <c r="L136" s="69"/>
      <c r="M136" s="141">
        <f>H136*(J136-L136)</f>
        <v>0</v>
      </c>
      <c r="N136" s="575">
        <f>-O136</f>
        <v>0</v>
      </c>
      <c r="O136" s="575">
        <f>1050*M136</f>
        <v>0</v>
      </c>
    </row>
    <row r="137" spans="2:15" ht="11.45" customHeight="1" x14ac:dyDescent="0.2">
      <c r="B137" s="17" t="s">
        <v>483</v>
      </c>
      <c r="C137" s="330"/>
      <c r="D137" s="358"/>
      <c r="E137" s="358"/>
      <c r="F137" s="358"/>
      <c r="G137" s="354"/>
      <c r="H137" s="576"/>
      <c r="I137" s="72"/>
      <c r="J137" s="69"/>
      <c r="K137" s="72"/>
      <c r="L137" s="69"/>
      <c r="M137" s="141">
        <f>H137*(J137-L137)</f>
        <v>0</v>
      </c>
      <c r="N137" s="575">
        <f>-O137</f>
        <v>0</v>
      </c>
      <c r="O137" s="575">
        <f>1050*M137</f>
        <v>0</v>
      </c>
    </row>
    <row r="138" spans="2:15" ht="11.45" customHeight="1" x14ac:dyDescent="0.2">
      <c r="B138" s="17" t="s">
        <v>484</v>
      </c>
      <c r="C138" s="330"/>
      <c r="D138" s="358"/>
      <c r="E138" s="358"/>
      <c r="F138" s="358"/>
      <c r="G138" s="354"/>
      <c r="H138" s="576"/>
      <c r="I138" s="72"/>
      <c r="J138" s="69"/>
      <c r="K138" s="72"/>
      <c r="L138" s="69"/>
      <c r="M138" s="141">
        <f>H138*(J138-L138)</f>
        <v>0</v>
      </c>
      <c r="N138" s="575">
        <f>-O138</f>
        <v>0</v>
      </c>
      <c r="O138" s="575">
        <f>1050*M138</f>
        <v>0</v>
      </c>
    </row>
    <row r="139" spans="2:15" ht="11.45" customHeight="1" x14ac:dyDescent="0.2">
      <c r="B139" s="18"/>
      <c r="C139" s="1965" t="s">
        <v>2274</v>
      </c>
      <c r="D139" s="1965"/>
      <c r="E139" s="1965"/>
      <c r="F139" s="1965"/>
      <c r="G139" s="1965"/>
      <c r="H139" s="1965"/>
      <c r="I139" s="1965"/>
      <c r="J139" s="1965"/>
      <c r="K139" s="1965"/>
      <c r="L139" s="1965"/>
      <c r="M139" s="1965"/>
      <c r="N139" s="575">
        <f>SUM(N135:N138)</f>
        <v>0</v>
      </c>
      <c r="O139" s="575">
        <f>SUM(O134:O138)</f>
        <v>0</v>
      </c>
    </row>
    <row r="140" spans="2:15" ht="11.45" customHeight="1" x14ac:dyDescent="0.2">
      <c r="B140" s="1967" t="s">
        <v>1706</v>
      </c>
      <c r="C140" s="1968"/>
      <c r="D140" s="1968"/>
      <c r="E140" s="1968"/>
      <c r="F140" s="1968"/>
      <c r="G140" s="1968"/>
      <c r="H140" s="1968"/>
      <c r="I140" s="1968"/>
      <c r="J140" s="1968"/>
      <c r="K140" s="1968"/>
      <c r="L140" s="1968"/>
      <c r="M140" s="1968"/>
      <c r="N140" s="1968"/>
      <c r="O140" s="1969"/>
    </row>
    <row r="141" spans="2:15" ht="11.45" customHeight="1" x14ac:dyDescent="0.2">
      <c r="B141" s="1970"/>
      <c r="C141" s="1971"/>
      <c r="D141" s="1971"/>
      <c r="E141" s="1971"/>
      <c r="F141" s="1971"/>
      <c r="G141" s="1971"/>
      <c r="H141" s="1971"/>
      <c r="I141" s="1971"/>
      <c r="J141" s="1971"/>
      <c r="K141" s="1971"/>
      <c r="L141" s="1971"/>
      <c r="M141" s="1971"/>
      <c r="N141" s="1971"/>
      <c r="O141" s="1972"/>
    </row>
    <row r="142" spans="2:15" ht="11.45" customHeight="1" x14ac:dyDescent="0.2">
      <c r="B142" s="1970"/>
      <c r="C142" s="1955"/>
      <c r="D142" s="1955"/>
      <c r="E142" s="1955"/>
      <c r="F142" s="1955"/>
      <c r="G142" s="1955"/>
      <c r="H142" s="1955"/>
      <c r="I142" s="1955"/>
      <c r="J142" s="1955"/>
      <c r="K142" s="1955"/>
      <c r="L142" s="1955"/>
      <c r="M142" s="1955"/>
      <c r="N142" s="1955"/>
      <c r="O142" s="1972"/>
    </row>
    <row r="143" spans="2:15" ht="11.45" customHeight="1" x14ac:dyDescent="0.2">
      <c r="B143" s="1973"/>
      <c r="C143" s="1974"/>
      <c r="D143" s="1974"/>
      <c r="E143" s="1974"/>
      <c r="F143" s="1974"/>
      <c r="G143" s="1974"/>
      <c r="H143" s="1974"/>
      <c r="I143" s="1974"/>
      <c r="J143" s="1974"/>
      <c r="K143" s="1974"/>
      <c r="L143" s="1974"/>
      <c r="M143" s="1974"/>
      <c r="N143" s="1974"/>
      <c r="O143" s="1975"/>
    </row>
    <row r="144" spans="2:15" ht="8.1" customHeight="1" x14ac:dyDescent="0.2">
      <c r="B144" s="1481"/>
      <c r="C144" s="1430"/>
      <c r="D144" s="1966"/>
      <c r="E144" s="1966"/>
      <c r="F144" s="1966"/>
      <c r="G144" s="1966"/>
      <c r="H144" s="1966"/>
      <c r="I144" s="1966"/>
      <c r="J144" s="1966"/>
      <c r="K144" s="1966"/>
      <c r="L144" s="1966"/>
      <c r="M144" s="1966"/>
      <c r="N144" s="1966"/>
      <c r="O144" s="1350"/>
    </row>
    <row r="145" spans="2:17" ht="11.45" customHeight="1" x14ac:dyDescent="0.2">
      <c r="B145" s="1996" t="s">
        <v>2341</v>
      </c>
      <c r="C145" s="1997"/>
      <c r="D145" s="1419"/>
      <c r="E145" s="1419"/>
      <c r="F145" s="1419"/>
      <c r="G145" s="1419"/>
      <c r="H145" s="1419"/>
      <c r="I145" s="1419"/>
      <c r="J145" s="1419"/>
      <c r="K145" s="1419"/>
      <c r="L145" s="1419"/>
      <c r="M145" s="1419"/>
      <c r="N145" s="1419"/>
      <c r="O145" s="1350"/>
    </row>
    <row r="146" spans="2:17" ht="11.45" customHeight="1" x14ac:dyDescent="0.2">
      <c r="B146" s="859" t="s">
        <v>3939</v>
      </c>
      <c r="C146" s="860"/>
      <c r="D146" s="861"/>
      <c r="E146" s="2041" t="s">
        <v>1460</v>
      </c>
      <c r="F146" s="2050"/>
      <c r="G146" s="345" t="s">
        <v>861</v>
      </c>
      <c r="H146" s="346" t="s">
        <v>1749</v>
      </c>
      <c r="I146" s="347" t="s">
        <v>1750</v>
      </c>
      <c r="J146" s="347" t="s">
        <v>844</v>
      </c>
      <c r="K146" s="347" t="s">
        <v>1749</v>
      </c>
      <c r="L146" s="2006" t="s">
        <v>2632</v>
      </c>
      <c r="M146" s="2007"/>
      <c r="N146" s="380" t="s">
        <v>1749</v>
      </c>
      <c r="O146" s="334" t="s">
        <v>1750</v>
      </c>
      <c r="Q146" s="682"/>
    </row>
    <row r="147" spans="2:17" ht="11.45" customHeight="1" x14ac:dyDescent="0.2">
      <c r="B147" s="862" t="s">
        <v>3940</v>
      </c>
      <c r="C147" s="46"/>
      <c r="D147" s="863"/>
      <c r="E147" s="348" t="s">
        <v>1458</v>
      </c>
      <c r="F147" s="698" t="s">
        <v>1458</v>
      </c>
      <c r="G147" s="348" t="s">
        <v>843</v>
      </c>
      <c r="H147" s="349" t="s">
        <v>859</v>
      </c>
      <c r="I147" s="350" t="s">
        <v>859</v>
      </c>
      <c r="J147" s="350" t="s">
        <v>3513</v>
      </c>
      <c r="K147" s="350" t="s">
        <v>845</v>
      </c>
      <c r="L147" s="334" t="s">
        <v>849</v>
      </c>
      <c r="M147" s="334" t="s">
        <v>1084</v>
      </c>
      <c r="N147" s="382" t="s">
        <v>1053</v>
      </c>
      <c r="O147" s="335" t="s">
        <v>1053</v>
      </c>
    </row>
    <row r="148" spans="2:17" ht="11.45" customHeight="1" x14ac:dyDescent="0.2">
      <c r="B148" s="565"/>
      <c r="C148" s="47"/>
      <c r="D148" s="864"/>
      <c r="E148" s="348" t="s">
        <v>840</v>
      </c>
      <c r="F148" s="698" t="s">
        <v>1179</v>
      </c>
      <c r="G148" s="351"/>
      <c r="H148" s="352" t="s">
        <v>860</v>
      </c>
      <c r="I148" s="353" t="s">
        <v>860</v>
      </c>
      <c r="J148" s="352" t="s">
        <v>59</v>
      </c>
      <c r="K148" s="353" t="s">
        <v>858</v>
      </c>
      <c r="L148" s="22"/>
      <c r="M148" s="352" t="s">
        <v>59</v>
      </c>
      <c r="N148" s="382" t="s">
        <v>857</v>
      </c>
      <c r="O148" s="338" t="s">
        <v>856</v>
      </c>
    </row>
    <row r="149" spans="2:17" ht="11.45" customHeight="1" x14ac:dyDescent="0.2">
      <c r="B149" s="17" t="s">
        <v>481</v>
      </c>
      <c r="C149" s="633"/>
      <c r="D149" s="354"/>
      <c r="E149" s="391"/>
      <c r="F149" s="391"/>
      <c r="G149" s="72"/>
      <c r="H149" s="575">
        <f>IF(AND(E149&gt;0,F149&gt;0),"error",(3.413*E149+F149))</f>
        <v>0</v>
      </c>
      <c r="I149" s="72"/>
      <c r="J149" s="129">
        <v>1</v>
      </c>
      <c r="K149" s="575">
        <f>G149*H149*J149</f>
        <v>0</v>
      </c>
      <c r="L149" s="341"/>
      <c r="M149" s="129"/>
      <c r="N149" s="575">
        <f>K149*M149</f>
        <v>0</v>
      </c>
      <c r="O149" s="575">
        <f>G149*J149*I149</f>
        <v>0</v>
      </c>
    </row>
    <row r="150" spans="2:17" ht="11.45" customHeight="1" x14ac:dyDescent="0.2">
      <c r="B150" s="17" t="s">
        <v>482</v>
      </c>
      <c r="C150" s="633"/>
      <c r="D150" s="354"/>
      <c r="E150" s="391"/>
      <c r="F150" s="391"/>
      <c r="G150" s="72"/>
      <c r="H150" s="575">
        <f>IF(AND(E150&gt;0,F150&gt;0),"error",(3.413*E150+F150))</f>
        <v>0</v>
      </c>
      <c r="I150" s="72"/>
      <c r="J150" s="129">
        <v>1</v>
      </c>
      <c r="K150" s="575">
        <f>G150*H150*J150</f>
        <v>0</v>
      </c>
      <c r="L150" s="341"/>
      <c r="M150" s="129"/>
      <c r="N150" s="575">
        <f>K150*M150</f>
        <v>0</v>
      </c>
      <c r="O150" s="575">
        <f>G150*J150*I150</f>
        <v>0</v>
      </c>
    </row>
    <row r="151" spans="2:17" ht="11.45" customHeight="1" x14ac:dyDescent="0.2">
      <c r="B151" s="17" t="s">
        <v>483</v>
      </c>
      <c r="C151" s="633"/>
      <c r="D151" s="354"/>
      <c r="E151" s="391"/>
      <c r="F151" s="391"/>
      <c r="G151" s="72"/>
      <c r="H151" s="575">
        <f>IF(AND(E151&gt;0,F151&gt;0),"error",(3.413*E151+F151))</f>
        <v>0</v>
      </c>
      <c r="I151" s="72"/>
      <c r="J151" s="129">
        <v>1</v>
      </c>
      <c r="K151" s="575">
        <f>G151*H151*J151</f>
        <v>0</v>
      </c>
      <c r="L151" s="341"/>
      <c r="M151" s="129"/>
      <c r="N151" s="575">
        <f>K151*M151</f>
        <v>0</v>
      </c>
      <c r="O151" s="575">
        <f>G151*J151*I151</f>
        <v>0</v>
      </c>
    </row>
    <row r="152" spans="2:17" ht="11.45" customHeight="1" x14ac:dyDescent="0.2">
      <c r="B152" s="1994" t="s">
        <v>2342</v>
      </c>
      <c r="C152" s="1784"/>
      <c r="D152" s="1784"/>
      <c r="E152" s="1784"/>
      <c r="F152" s="1784"/>
      <c r="G152" s="1784"/>
      <c r="H152" s="1784"/>
      <c r="I152" s="1784"/>
      <c r="J152" s="1784"/>
      <c r="K152" s="1784"/>
      <c r="L152" s="1784"/>
      <c r="M152" s="1784"/>
      <c r="N152" s="575">
        <f>SUM(N149:N151)</f>
        <v>0</v>
      </c>
      <c r="O152" s="575">
        <f>G152*J152*I152</f>
        <v>0</v>
      </c>
    </row>
    <row r="153" spans="2:17" ht="11.45" customHeight="1" x14ac:dyDescent="0.2">
      <c r="B153" s="1481" t="s">
        <v>3941</v>
      </c>
      <c r="C153" s="1430"/>
      <c r="D153" s="1995"/>
      <c r="E153" s="1995"/>
      <c r="F153" s="1995"/>
      <c r="G153" s="1995"/>
      <c r="H153" s="1995"/>
      <c r="I153" s="1995"/>
      <c r="J153" s="1995"/>
      <c r="K153" s="1995"/>
      <c r="L153" s="1995"/>
      <c r="M153" s="1995"/>
      <c r="N153" s="1995"/>
      <c r="O153" s="1350"/>
    </row>
    <row r="156" spans="2:17" ht="11.45" customHeight="1" x14ac:dyDescent="0.2">
      <c r="B156" s="1414" t="s">
        <v>1071</v>
      </c>
      <c r="C156" s="1419"/>
      <c r="D156" s="1419"/>
      <c r="E156" s="1419"/>
      <c r="F156" s="1419"/>
      <c r="G156" s="1419"/>
      <c r="H156" s="1419"/>
      <c r="I156" s="1315"/>
      <c r="K156" s="334" t="s">
        <v>851</v>
      </c>
    </row>
    <row r="157" spans="2:17" ht="11.45" customHeight="1" x14ac:dyDescent="0.2">
      <c r="B157" s="18"/>
      <c r="C157" s="19"/>
      <c r="D157" s="19"/>
      <c r="E157" s="19"/>
      <c r="F157" s="19"/>
      <c r="G157" s="19"/>
      <c r="H157" s="17" t="s">
        <v>1749</v>
      </c>
      <c r="I157" s="17" t="s">
        <v>1750</v>
      </c>
      <c r="K157" s="335" t="s">
        <v>852</v>
      </c>
    </row>
    <row r="158" spans="2:17" ht="11.45" customHeight="1" x14ac:dyDescent="0.2">
      <c r="B158" s="17" t="s">
        <v>481</v>
      </c>
      <c r="C158" s="45" t="s">
        <v>1186</v>
      </c>
      <c r="D158" s="19"/>
      <c r="E158" s="19"/>
      <c r="F158" s="19"/>
      <c r="G158" s="20"/>
      <c r="H158" s="285">
        <f>N13</f>
        <v>0</v>
      </c>
      <c r="I158" s="285" t="s">
        <v>3478</v>
      </c>
      <c r="K158" s="338" t="s">
        <v>853</v>
      </c>
    </row>
    <row r="159" spans="2:17" ht="11.45" customHeight="1" x14ac:dyDescent="0.2">
      <c r="B159" s="17" t="s">
        <v>482</v>
      </c>
      <c r="C159" s="45" t="s">
        <v>1187</v>
      </c>
      <c r="D159" s="19"/>
      <c r="E159" s="19"/>
      <c r="F159" s="19"/>
      <c r="G159" s="20"/>
      <c r="H159" s="285">
        <f>N25</f>
        <v>0</v>
      </c>
      <c r="I159" s="285">
        <f>O25+O127</f>
        <v>0</v>
      </c>
      <c r="K159" s="285">
        <f>O13</f>
        <v>0</v>
      </c>
    </row>
    <row r="160" spans="2:17" ht="11.45" customHeight="1" x14ac:dyDescent="0.2">
      <c r="B160" s="17" t="s">
        <v>483</v>
      </c>
      <c r="C160" s="45" t="s">
        <v>1188</v>
      </c>
      <c r="D160" s="19"/>
      <c r="E160" s="19"/>
      <c r="F160" s="19"/>
      <c r="G160" s="20"/>
      <c r="H160" s="285">
        <f>N36</f>
        <v>0</v>
      </c>
      <c r="I160" s="285">
        <f>O36</f>
        <v>0</v>
      </c>
    </row>
    <row r="161" spans="2:10" ht="11.45" customHeight="1" x14ac:dyDescent="0.2">
      <c r="B161" s="17" t="s">
        <v>484</v>
      </c>
      <c r="C161" s="45" t="s">
        <v>2898</v>
      </c>
      <c r="D161" s="19"/>
      <c r="E161" s="19"/>
      <c r="F161" s="19"/>
      <c r="G161" s="20"/>
      <c r="H161" s="285">
        <f>N61+N152</f>
        <v>0</v>
      </c>
      <c r="I161" s="285">
        <f>O61+O152</f>
        <v>0</v>
      </c>
    </row>
    <row r="162" spans="2:10" ht="11.45" customHeight="1" x14ac:dyDescent="0.2">
      <c r="B162" s="17" t="s">
        <v>485</v>
      </c>
      <c r="C162" s="45" t="s">
        <v>1189</v>
      </c>
      <c r="D162" s="19"/>
      <c r="E162" s="19"/>
      <c r="F162" s="19"/>
      <c r="G162" s="20"/>
      <c r="H162" s="285">
        <f>O48+O72+O83+N117+N139</f>
        <v>0</v>
      </c>
      <c r="I162" s="285">
        <f>O117+O139</f>
        <v>0</v>
      </c>
      <c r="J162" s="41" t="s">
        <v>4117</v>
      </c>
    </row>
    <row r="163" spans="2:10" ht="11.45" customHeight="1" x14ac:dyDescent="0.2">
      <c r="B163" s="17" t="s">
        <v>486</v>
      </c>
      <c r="C163" s="45" t="s">
        <v>1190</v>
      </c>
      <c r="D163" s="19"/>
      <c r="E163" s="19"/>
      <c r="F163" s="19"/>
      <c r="G163" s="20"/>
      <c r="H163" s="285">
        <f>O94+N105</f>
        <v>0</v>
      </c>
      <c r="I163" s="285">
        <f>O105</f>
        <v>0</v>
      </c>
    </row>
    <row r="164" spans="2:10" ht="11.45" customHeight="1" x14ac:dyDescent="0.2">
      <c r="J164" s="388"/>
    </row>
  </sheetData>
  <mergeCells count="89">
    <mergeCell ref="B97:O97"/>
    <mergeCell ref="L98:M98"/>
    <mergeCell ref="B98:G100"/>
    <mergeCell ref="B145:O145"/>
    <mergeCell ref="L146:M146"/>
    <mergeCell ref="C105:M105"/>
    <mergeCell ref="B108:O108"/>
    <mergeCell ref="B106:O106"/>
    <mergeCell ref="B107:O107"/>
    <mergeCell ref="L109:M109"/>
    <mergeCell ref="B109:E112"/>
    <mergeCell ref="E146:F146"/>
    <mergeCell ref="B118:O118"/>
    <mergeCell ref="B120:O120"/>
    <mergeCell ref="B119:O119"/>
    <mergeCell ref="B121:K123"/>
    <mergeCell ref="B87:F89"/>
    <mergeCell ref="M87:N87"/>
    <mergeCell ref="C94:N94"/>
    <mergeCell ref="B95:O95"/>
    <mergeCell ref="B96:O96"/>
    <mergeCell ref="B84:O84"/>
    <mergeCell ref="B85:O85"/>
    <mergeCell ref="B76:E78"/>
    <mergeCell ref="M76:N76"/>
    <mergeCell ref="B86:O86"/>
    <mergeCell ref="B73:O73"/>
    <mergeCell ref="B74:O74"/>
    <mergeCell ref="C72:N72"/>
    <mergeCell ref="C83:N83"/>
    <mergeCell ref="B75:O75"/>
    <mergeCell ref="B65:F67"/>
    <mergeCell ref="M65:N65"/>
    <mergeCell ref="B63:O63"/>
    <mergeCell ref="B64:O64"/>
    <mergeCell ref="L29:M29"/>
    <mergeCell ref="E36:M36"/>
    <mergeCell ref="B37:O37"/>
    <mergeCell ref="E29:F29"/>
    <mergeCell ref="M40:N40"/>
    <mergeCell ref="F43:G43"/>
    <mergeCell ref="B38:O38"/>
    <mergeCell ref="B39:O39"/>
    <mergeCell ref="B40:C41"/>
    <mergeCell ref="B5:O5"/>
    <mergeCell ref="B18:F20"/>
    <mergeCell ref="B17:O17"/>
    <mergeCell ref="B2:O2"/>
    <mergeCell ref="B14:O15"/>
    <mergeCell ref="B4:O4"/>
    <mergeCell ref="B16:O16"/>
    <mergeCell ref="B6:D8"/>
    <mergeCell ref="L6:M6"/>
    <mergeCell ref="L18:M18"/>
    <mergeCell ref="Q30:T30"/>
    <mergeCell ref="B13:L13"/>
    <mergeCell ref="B26:O26"/>
    <mergeCell ref="B29:D31"/>
    <mergeCell ref="B28:O28"/>
    <mergeCell ref="C21:F21"/>
    <mergeCell ref="C22:F22"/>
    <mergeCell ref="C23:F23"/>
    <mergeCell ref="C24:F24"/>
    <mergeCell ref="H25:M25"/>
    <mergeCell ref="B27:O27"/>
    <mergeCell ref="Q41:S41"/>
    <mergeCell ref="I48:N48"/>
    <mergeCell ref="B61:L61"/>
    <mergeCell ref="B62:O62"/>
    <mergeCell ref="B52:O52"/>
    <mergeCell ref="B53:O53"/>
    <mergeCell ref="B54:E56"/>
    <mergeCell ref="L54:M54"/>
    <mergeCell ref="B49:O51"/>
    <mergeCell ref="B156:I156"/>
    <mergeCell ref="B117:M117"/>
    <mergeCell ref="C139:M139"/>
    <mergeCell ref="B144:O144"/>
    <mergeCell ref="B140:O143"/>
    <mergeCell ref="B131:G134"/>
    <mergeCell ref="B129:O129"/>
    <mergeCell ref="C127:N127"/>
    <mergeCell ref="C124:K124"/>
    <mergeCell ref="C125:K125"/>
    <mergeCell ref="B152:M152"/>
    <mergeCell ref="B153:O153"/>
    <mergeCell ref="B130:O130"/>
    <mergeCell ref="B128:O128"/>
    <mergeCell ref="C126:K126"/>
  </mergeCells>
  <phoneticPr fontId="2" type="noConversion"/>
  <pageMargins left="0.75" right="0.75" top="1" bottom="1" header="0.5" footer="0.5"/>
  <pageSetup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9"/>
  <dimension ref="B2:AM69"/>
  <sheetViews>
    <sheetView topLeftCell="O11" workbookViewId="0">
      <selection activeCell="V26" sqref="V26"/>
    </sheetView>
  </sheetViews>
  <sheetFormatPr defaultColWidth="9.140625" defaultRowHeight="11.45" customHeight="1" x14ac:dyDescent="0.2"/>
  <cols>
    <col min="1" max="1" width="3.7109375" style="1" customWidth="1"/>
    <col min="2" max="13" width="9.140625" style="2"/>
    <col min="14" max="14" width="97.7109375" style="1" bestFit="1" customWidth="1"/>
    <col min="15" max="34" width="9.140625" style="1"/>
    <col min="35" max="36" width="10.42578125" style="1" bestFit="1" customWidth="1"/>
    <col min="37" max="16384" width="9.140625" style="1"/>
  </cols>
  <sheetData>
    <row r="2" spans="2:12" ht="11.45" customHeight="1" x14ac:dyDescent="0.2">
      <c r="B2" s="2031" t="s">
        <v>2587</v>
      </c>
      <c r="C2" s="2033"/>
      <c r="D2" s="2033"/>
      <c r="E2" s="2033"/>
      <c r="F2" s="2033"/>
      <c r="G2" s="2033"/>
      <c r="H2" s="2033"/>
      <c r="I2" s="2033"/>
      <c r="J2" s="2033"/>
      <c r="K2" s="2033"/>
      <c r="L2" s="2034"/>
    </row>
    <row r="3" spans="2:12" ht="11.45" customHeight="1" x14ac:dyDescent="0.2">
      <c r="B3" s="331"/>
      <c r="C3" s="332"/>
      <c r="D3" s="29"/>
      <c r="E3" s="454" t="s">
        <v>476</v>
      </c>
      <c r="F3" s="686" t="str">
        <f>'Wrk A'!H5</f>
        <v>Block</v>
      </c>
      <c r="G3" s="919" t="s">
        <v>3985</v>
      </c>
      <c r="H3" s="920" t="str">
        <f>'Wrk A'!C15</f>
        <v>Jul &amp; Aug</v>
      </c>
      <c r="I3" s="919" t="s">
        <v>1079</v>
      </c>
      <c r="J3" s="951">
        <f>'Wrk A'!K16</f>
        <v>0.5</v>
      </c>
      <c r="K3" s="332"/>
      <c r="L3" s="389"/>
    </row>
    <row r="4" spans="2:12" ht="8.1" customHeight="1" x14ac:dyDescent="0.2">
      <c r="B4" s="1987"/>
      <c r="C4" s="2000"/>
      <c r="D4" s="2000"/>
      <c r="E4" s="2000"/>
      <c r="F4" s="2039"/>
      <c r="G4" s="2000"/>
      <c r="H4" s="2000"/>
      <c r="I4" s="2000"/>
      <c r="J4" s="2000"/>
      <c r="K4" s="2000"/>
      <c r="L4" s="1350"/>
    </row>
    <row r="5" spans="2:12" ht="11.45" customHeight="1" x14ac:dyDescent="0.2">
      <c r="B5" s="333" t="s">
        <v>3985</v>
      </c>
      <c r="C5" s="333" t="s">
        <v>1079</v>
      </c>
      <c r="D5" s="21" t="s">
        <v>1080</v>
      </c>
      <c r="E5" s="345" t="s">
        <v>612</v>
      </c>
      <c r="F5" s="346" t="s">
        <v>2588</v>
      </c>
      <c r="G5" s="347" t="s">
        <v>3481</v>
      </c>
      <c r="H5" s="347" t="s">
        <v>3482</v>
      </c>
      <c r="I5" s="2056" t="s">
        <v>2890</v>
      </c>
      <c r="J5" s="1616"/>
      <c r="K5" s="1616"/>
      <c r="L5" s="1360"/>
    </row>
    <row r="6" spans="2:12" ht="11.45" customHeight="1" x14ac:dyDescent="0.2">
      <c r="B6" s="416" t="str">
        <f>'Wrk A'!C15</f>
        <v>Jul &amp; Aug</v>
      </c>
      <c r="C6" s="417">
        <f>'Wrk A'!K16</f>
        <v>0.5</v>
      </c>
      <c r="D6" s="141">
        <f>'Wrk A'!D27</f>
        <v>40</v>
      </c>
      <c r="E6" s="141">
        <f>'Wrk A'!J27</f>
        <v>24.099999999999994</v>
      </c>
      <c r="F6" s="141">
        <f>'Wrk A'!K25</f>
        <v>-32</v>
      </c>
      <c r="G6" s="575">
        <f>'Wrk A'!K5</f>
        <v>2162</v>
      </c>
      <c r="H6" s="66">
        <f>'Wrk A'!L5</f>
        <v>0.93</v>
      </c>
      <c r="I6" s="2057" t="str">
        <f>'Wrk A'!H5</f>
        <v>Block</v>
      </c>
      <c r="J6" s="2058"/>
      <c r="K6" s="2058"/>
      <c r="L6" s="2058"/>
    </row>
    <row r="7" spans="2:12" ht="8.1" customHeight="1" x14ac:dyDescent="0.2">
      <c r="B7" s="1996"/>
      <c r="C7" s="1419"/>
      <c r="D7" s="1419"/>
      <c r="E7" s="1419"/>
      <c r="F7" s="1419"/>
      <c r="G7" s="1419"/>
      <c r="H7" s="1419"/>
      <c r="I7" s="1419"/>
      <c r="J7" s="1419"/>
      <c r="K7" s="1419"/>
      <c r="L7" s="1415"/>
    </row>
    <row r="8" spans="2:12" ht="11.45" customHeight="1" x14ac:dyDescent="0.2">
      <c r="B8" s="1996" t="s">
        <v>2891</v>
      </c>
      <c r="C8" s="1314"/>
      <c r="D8" s="1314"/>
      <c r="E8" s="1314"/>
      <c r="F8" s="1314"/>
      <c r="G8" s="1314"/>
      <c r="H8" s="1314"/>
      <c r="I8" s="1314"/>
      <c r="J8" s="1314"/>
      <c r="K8" s="1314"/>
      <c r="L8" s="1315"/>
    </row>
    <row r="9" spans="2:12" ht="11.45" customHeight="1" x14ac:dyDescent="0.2">
      <c r="B9" s="386" t="s">
        <v>2892</v>
      </c>
      <c r="C9" s="387"/>
      <c r="D9" s="387"/>
      <c r="E9" s="387"/>
      <c r="F9" s="387"/>
      <c r="G9" s="737" t="s">
        <v>990</v>
      </c>
      <c r="H9" s="72">
        <v>1</v>
      </c>
      <c r="I9" s="2059" t="s">
        <v>3817</v>
      </c>
      <c r="J9" s="1784"/>
      <c r="K9" s="1964"/>
      <c r="L9" s="770" t="s">
        <v>69</v>
      </c>
    </row>
    <row r="10" spans="2:12" ht="11.45" customHeight="1" x14ac:dyDescent="0.2">
      <c r="B10" s="333" t="s">
        <v>2893</v>
      </c>
      <c r="C10" s="333" t="s">
        <v>943</v>
      </c>
      <c r="D10" s="21" t="s">
        <v>3411</v>
      </c>
      <c r="E10" s="345" t="s">
        <v>2896</v>
      </c>
      <c r="F10" s="346" t="s">
        <v>3741</v>
      </c>
      <c r="G10" s="347" t="s">
        <v>2115</v>
      </c>
      <c r="H10" s="347" t="s">
        <v>3744</v>
      </c>
      <c r="I10" s="347" t="s">
        <v>1386</v>
      </c>
      <c r="J10" s="2091" t="s">
        <v>162</v>
      </c>
      <c r="K10" s="1383"/>
      <c r="L10" s="1384"/>
    </row>
    <row r="11" spans="2:12" ht="11.45" customHeight="1" x14ac:dyDescent="0.2">
      <c r="B11" s="336" t="s">
        <v>2894</v>
      </c>
      <c r="C11" s="336" t="s">
        <v>948</v>
      </c>
      <c r="D11" s="43" t="s">
        <v>2895</v>
      </c>
      <c r="E11" s="349" t="s">
        <v>2897</v>
      </c>
      <c r="F11" s="349" t="s">
        <v>3742</v>
      </c>
      <c r="G11" s="350" t="s">
        <v>3743</v>
      </c>
      <c r="H11" s="350" t="s">
        <v>3743</v>
      </c>
      <c r="I11" s="350" t="s">
        <v>3745</v>
      </c>
      <c r="J11" s="1385"/>
      <c r="K11" s="1388"/>
      <c r="L11" s="1387"/>
    </row>
    <row r="12" spans="2:12" ht="11.45" customHeight="1" x14ac:dyDescent="0.2">
      <c r="B12" s="43"/>
      <c r="C12" s="43" t="s">
        <v>2806</v>
      </c>
      <c r="D12" s="43"/>
      <c r="E12" s="348"/>
      <c r="F12" s="349"/>
      <c r="G12" s="350"/>
      <c r="H12" s="350"/>
      <c r="I12" s="350"/>
      <c r="J12" s="1385"/>
      <c r="K12" s="1388"/>
      <c r="L12" s="1387"/>
    </row>
    <row r="13" spans="2:12" ht="11.45" customHeight="1" x14ac:dyDescent="0.2">
      <c r="B13" s="43"/>
      <c r="C13" s="43"/>
      <c r="D13" s="43"/>
      <c r="E13" s="348"/>
      <c r="F13" s="349"/>
      <c r="G13" s="350"/>
      <c r="H13" s="350"/>
      <c r="I13" s="350"/>
      <c r="J13" s="1385"/>
      <c r="K13" s="1388"/>
      <c r="L13" s="1387"/>
    </row>
    <row r="14" spans="2:12" ht="11.45" customHeight="1" x14ac:dyDescent="0.2">
      <c r="B14" s="141" t="s">
        <v>3983</v>
      </c>
      <c r="C14" s="575">
        <f>'Form N1'!E7</f>
        <v>0</v>
      </c>
      <c r="D14" s="2092" t="str">
        <f>KW!A240</f>
        <v>Average</v>
      </c>
      <c r="E14" s="129">
        <f>KW!C240</f>
        <v>0.91</v>
      </c>
      <c r="F14" s="575">
        <f>'Wrk D'!K87</f>
        <v>0</v>
      </c>
      <c r="G14" s="339">
        <f>E14*F14/60</f>
        <v>0</v>
      </c>
      <c r="H14" s="72"/>
      <c r="I14" s="339">
        <f>G14+H14</f>
        <v>0</v>
      </c>
      <c r="J14" s="1690"/>
      <c r="K14" s="2046"/>
      <c r="L14" s="1691"/>
    </row>
    <row r="15" spans="2:12" ht="11.45" customHeight="1" x14ac:dyDescent="0.2">
      <c r="B15" s="141" t="s">
        <v>3984</v>
      </c>
      <c r="C15" s="575">
        <f>'Wrk D'!O86</f>
        <v>0</v>
      </c>
      <c r="D15" s="2093"/>
      <c r="E15" s="129">
        <f>KW!D240</f>
        <v>0.48</v>
      </c>
      <c r="F15" s="575">
        <f>'Wrk D'!L87</f>
        <v>0</v>
      </c>
      <c r="G15" s="339">
        <f>E15*F15/60</f>
        <v>0</v>
      </c>
      <c r="H15" s="377"/>
      <c r="I15" s="339">
        <f>G15</f>
        <v>0</v>
      </c>
      <c r="J15" s="1692"/>
      <c r="K15" s="1986"/>
      <c r="L15" s="1693"/>
    </row>
    <row r="16" spans="2:12" ht="11.45" customHeight="1" x14ac:dyDescent="0.2">
      <c r="B16" s="2060" t="s">
        <v>3366</v>
      </c>
      <c r="C16" s="1968"/>
      <c r="D16" s="1968"/>
      <c r="E16" s="1968"/>
      <c r="F16" s="1968"/>
      <c r="G16" s="1968"/>
      <c r="H16" s="1968"/>
      <c r="I16" s="1968"/>
      <c r="J16" s="1968"/>
      <c r="K16" s="1968"/>
      <c r="L16" s="1969"/>
    </row>
    <row r="17" spans="2:39" ht="11.45" customHeight="1" x14ac:dyDescent="0.2">
      <c r="B17" s="1973"/>
      <c r="C17" s="1974"/>
      <c r="D17" s="1974"/>
      <c r="E17" s="1974"/>
      <c r="F17" s="1974"/>
      <c r="G17" s="1974"/>
      <c r="H17" s="1974"/>
      <c r="I17" s="1974"/>
      <c r="J17" s="1974"/>
      <c r="K17" s="1974"/>
      <c r="L17" s="1975"/>
    </row>
    <row r="18" spans="2:39" ht="8.1" customHeight="1" x14ac:dyDescent="0.2">
      <c r="B18" s="1987"/>
      <c r="C18" s="1314"/>
      <c r="D18" s="1314"/>
      <c r="E18" s="1314"/>
      <c r="F18" s="1624"/>
      <c r="G18" s="1314"/>
      <c r="H18" s="1314"/>
      <c r="I18" s="1314"/>
      <c r="J18" s="1314"/>
      <c r="K18" s="1314"/>
      <c r="L18" s="1315"/>
      <c r="Y18" s="2"/>
    </row>
    <row r="19" spans="2:39" ht="11.45" customHeight="1" x14ac:dyDescent="0.2">
      <c r="B19" s="386" t="s">
        <v>3367</v>
      </c>
      <c r="C19" s="63"/>
      <c r="D19" s="63"/>
      <c r="E19" s="63"/>
      <c r="F19" s="63"/>
      <c r="G19" s="737" t="s">
        <v>989</v>
      </c>
      <c r="H19" s="418"/>
      <c r="I19" s="63"/>
      <c r="J19" s="63"/>
      <c r="K19" s="63"/>
      <c r="L19" s="409"/>
      <c r="O19" s="2" t="s">
        <v>164</v>
      </c>
      <c r="R19" s="2" t="s">
        <v>3669</v>
      </c>
      <c r="U19" s="2" t="s">
        <v>3668</v>
      </c>
      <c r="W19" s="2" t="s">
        <v>3670</v>
      </c>
      <c r="X19" s="2"/>
      <c r="Y19" s="2" t="s">
        <v>3743</v>
      </c>
      <c r="Z19" s="2" t="s">
        <v>3669</v>
      </c>
      <c r="AA19" s="2" t="s">
        <v>3668</v>
      </c>
      <c r="AL19" s="2" t="s">
        <v>3669</v>
      </c>
      <c r="AM19" s="2" t="s">
        <v>3668</v>
      </c>
    </row>
    <row r="20" spans="2:39" ht="11.45" customHeight="1" x14ac:dyDescent="0.2">
      <c r="B20" s="333" t="s">
        <v>2893</v>
      </c>
      <c r="C20" s="333" t="s">
        <v>1080</v>
      </c>
      <c r="D20" s="21" t="s">
        <v>3818</v>
      </c>
      <c r="E20" s="345" t="s">
        <v>1224</v>
      </c>
      <c r="F20" s="1996" t="s">
        <v>1227</v>
      </c>
      <c r="G20" s="1314"/>
      <c r="H20" s="1315"/>
      <c r="I20" s="347" t="s">
        <v>163</v>
      </c>
      <c r="J20" s="2035" t="s">
        <v>1383</v>
      </c>
      <c r="K20" s="2036"/>
      <c r="L20" s="2061"/>
      <c r="O20" s="1">
        <v>5</v>
      </c>
      <c r="P20" s="1">
        <v>2</v>
      </c>
      <c r="Q20" s="1" t="e">
        <f>VLOOKUP(InfiltrationI!Q8,'Wrk F'!$O$20:$P$26,2)</f>
        <v>#N/A</v>
      </c>
      <c r="R20" s="1" t="str">
        <f>IF(InfiltrationI!B8="","",VLOOKUP(InfiltrationI!B8,'Wrk F'!$N$29:$U$37,'Wrk F'!Q20,FALSE))</f>
        <v/>
      </c>
      <c r="S20" s="1">
        <v>9</v>
      </c>
      <c r="T20" s="1" t="e">
        <f>VLOOKUP(InfiltrationI!Q8,'Wrk F'!$O$20:$S$26,5)</f>
        <v>#N/A</v>
      </c>
      <c r="U20" s="1" t="str">
        <f>IF(InfiltrationI!B8="","",VLOOKUP(InfiltrationI!B8,'Wrk F'!$N$29:$AB$37,'Wrk F'!T20,FALSE))</f>
        <v/>
      </c>
      <c r="W20" s="1">
        <v>0</v>
      </c>
      <c r="X20" s="1">
        <v>0</v>
      </c>
      <c r="Y20" s="1">
        <f>VLOOKUP(InfiltrationI!Q14,'Wrk F'!W20:X23,2)</f>
        <v>0</v>
      </c>
    </row>
    <row r="21" spans="2:39" ht="11.45" customHeight="1" x14ac:dyDescent="0.2">
      <c r="B21" s="336" t="s">
        <v>2894</v>
      </c>
      <c r="C21" s="336" t="s">
        <v>3368</v>
      </c>
      <c r="D21" s="43" t="s">
        <v>3819</v>
      </c>
      <c r="E21" s="349" t="s">
        <v>1225</v>
      </c>
      <c r="F21" s="349" t="s">
        <v>3100</v>
      </c>
      <c r="G21" s="350" t="s">
        <v>3101</v>
      </c>
      <c r="H21" s="350" t="s">
        <v>3102</v>
      </c>
      <c r="I21" s="350"/>
      <c r="J21" s="2062"/>
      <c r="K21" s="2063"/>
      <c r="L21" s="2064"/>
      <c r="O21" s="1">
        <v>10</v>
      </c>
      <c r="P21" s="1">
        <v>3</v>
      </c>
      <c r="Q21" s="1" t="e">
        <f>VLOOKUP(InfiltrationI!Q9,'Wrk F'!$O$20:$P$26,2)</f>
        <v>#N/A</v>
      </c>
      <c r="R21" s="1" t="str">
        <f>IF(InfiltrationI!B9="","",VLOOKUP(InfiltrationI!B9,'Wrk F'!$N$29:$U$37,'Wrk F'!Q21,FALSE))</f>
        <v/>
      </c>
      <c r="S21" s="1">
        <v>10</v>
      </c>
      <c r="T21" s="1" t="e">
        <f>VLOOKUP(InfiltrationI!Q9,'Wrk F'!$O$20:$S$26,5)</f>
        <v>#N/A</v>
      </c>
      <c r="U21" s="1" t="str">
        <f>IF(InfiltrationI!B9="","",VLOOKUP(InfiltrationI!B9,'Wrk F'!$N$29:$AB$37,'Wrk F'!T21,FALSE))</f>
        <v/>
      </c>
      <c r="W21" s="1">
        <v>1</v>
      </c>
      <c r="X21" s="1">
        <v>200</v>
      </c>
    </row>
    <row r="22" spans="2:39" ht="11.45" customHeight="1" x14ac:dyDescent="0.2">
      <c r="B22" s="43"/>
      <c r="C22" s="43" t="s">
        <v>612</v>
      </c>
      <c r="D22" s="43" t="s">
        <v>3820</v>
      </c>
      <c r="E22" s="348" t="s">
        <v>1226</v>
      </c>
      <c r="F22" s="349"/>
      <c r="G22" s="350" t="s">
        <v>2895</v>
      </c>
      <c r="H22" s="350"/>
      <c r="I22" s="350"/>
      <c r="J22" s="2037"/>
      <c r="K22" s="2038"/>
      <c r="L22" s="2065"/>
      <c r="O22" s="1">
        <v>15</v>
      </c>
      <c r="P22" s="1">
        <v>4</v>
      </c>
      <c r="Q22" s="1" t="e">
        <f>VLOOKUP(InfiltrationI!Q10,'Wrk F'!$O$20:$P$26,2)</f>
        <v>#N/A</v>
      </c>
      <c r="R22" s="1" t="str">
        <f>IF(InfiltrationI!B10="","",VLOOKUP(InfiltrationI!B10,'Wrk F'!$N$29:$U$37,'Wrk F'!Q22,FALSE))</f>
        <v/>
      </c>
      <c r="S22" s="1">
        <v>11</v>
      </c>
      <c r="T22" s="1" t="e">
        <f>VLOOKUP(InfiltrationI!Q10,'Wrk F'!$O$20:$S$26,5)</f>
        <v>#N/A</v>
      </c>
      <c r="U22" s="1" t="str">
        <f>IF(InfiltrationI!B10="","",VLOOKUP(InfiltrationI!B10,'Wrk F'!$N$29:$AB$37,'Wrk F'!T22,FALSE))</f>
        <v/>
      </c>
      <c r="W22" s="1">
        <v>2</v>
      </c>
      <c r="X22" s="1">
        <v>400</v>
      </c>
    </row>
    <row r="23" spans="2:39" ht="11.45" customHeight="1" x14ac:dyDescent="0.2">
      <c r="B23" s="141" t="s">
        <v>3983</v>
      </c>
      <c r="C23" s="69"/>
      <c r="D23" s="390">
        <v>15</v>
      </c>
      <c r="E23" s="2094"/>
      <c r="F23" s="2096"/>
      <c r="G23" s="2092"/>
      <c r="H23" s="2096"/>
      <c r="I23" s="339">
        <f>E$23*(F$23*C23+H$23*D23^2)^0.5</f>
        <v>0</v>
      </c>
      <c r="J23" s="2085" t="s">
        <v>1384</v>
      </c>
      <c r="K23" s="2086"/>
      <c r="L23" s="2087"/>
      <c r="O23" s="1">
        <v>25</v>
      </c>
      <c r="P23" s="1">
        <v>5</v>
      </c>
      <c r="Q23" s="1" t="e">
        <f>VLOOKUP(InfiltrationI!Q11,'Wrk F'!$O$20:$P$26,2)</f>
        <v>#N/A</v>
      </c>
      <c r="R23" s="1" t="str">
        <f>IF(InfiltrationI!B11="","",VLOOKUP(InfiltrationI!B11,'Wrk F'!$N$29:$U$37,'Wrk F'!Q23,FALSE))</f>
        <v/>
      </c>
      <c r="S23" s="1">
        <v>12</v>
      </c>
      <c r="T23" s="1" t="e">
        <f>VLOOKUP(InfiltrationI!Q11,'Wrk F'!$O$20:$S$26,5)</f>
        <v>#N/A</v>
      </c>
      <c r="U23" s="1" t="str">
        <f>IF(InfiltrationI!B11="","",VLOOKUP(InfiltrationI!B11,'Wrk F'!$N$29:$AB$37,'Wrk F'!T23,FALSE))</f>
        <v/>
      </c>
      <c r="W23" s="1">
        <v>3</v>
      </c>
      <c r="X23" s="1">
        <v>400</v>
      </c>
    </row>
    <row r="24" spans="2:39" ht="11.45" customHeight="1" thickBot="1" x14ac:dyDescent="0.25">
      <c r="B24" s="345" t="s">
        <v>3984</v>
      </c>
      <c r="C24" s="70"/>
      <c r="D24" s="392">
        <v>7.5</v>
      </c>
      <c r="E24" s="2095"/>
      <c r="F24" s="2095"/>
      <c r="G24" s="2095"/>
      <c r="H24" s="2095"/>
      <c r="I24" s="339">
        <f>E$23*(F$23*C24+H$23*D24^2)^0.5</f>
        <v>0</v>
      </c>
      <c r="J24" s="2088"/>
      <c r="K24" s="2089"/>
      <c r="L24" s="2090"/>
      <c r="O24" s="1">
        <v>50</v>
      </c>
      <c r="P24" s="1">
        <v>6</v>
      </c>
      <c r="Q24" s="1" t="e">
        <f>VLOOKUP(InfiltrationI!Q12,'Wrk F'!$O$20:$P$26,2)</f>
        <v>#N/A</v>
      </c>
      <c r="R24" s="1294" t="str">
        <f>IF(InfiltrationI!B12="","",VLOOKUP(InfiltrationI!B12,'Wrk F'!$N$29:$U$37,'Wrk F'!Q24,FALSE))</f>
        <v/>
      </c>
      <c r="S24" s="1">
        <v>13</v>
      </c>
      <c r="T24" s="1" t="e">
        <f>VLOOKUP(InfiltrationI!Q12,'Wrk F'!$O$20:$S$26,5)</f>
        <v>#N/A</v>
      </c>
      <c r="U24" s="1" t="str">
        <f>IF(InfiltrationI!B12="","",VLOOKUP(InfiltrationI!B12,'Wrk F'!$N$29:$AB$37,'Wrk F'!T24,FALSE))</f>
        <v/>
      </c>
      <c r="W24" s="1">
        <v>4</v>
      </c>
      <c r="X24" s="1">
        <v>400</v>
      </c>
      <c r="Y24" s="1294"/>
    </row>
    <row r="25" spans="2:39" ht="11.45" customHeight="1" thickTop="1" thickBot="1" x14ac:dyDescent="0.25">
      <c r="B25" s="1987"/>
      <c r="C25" s="1314"/>
      <c r="D25" s="1314"/>
      <c r="E25" s="1314"/>
      <c r="F25" s="1314"/>
      <c r="G25" s="1314"/>
      <c r="H25" s="1314"/>
      <c r="I25" s="1314"/>
      <c r="J25" s="1314"/>
      <c r="K25" s="1314"/>
      <c r="L25" s="1315"/>
      <c r="O25" s="1">
        <v>100</v>
      </c>
      <c r="P25" s="1">
        <v>7</v>
      </c>
      <c r="R25" s="1">
        <f>SUM(R20:R24)</f>
        <v>0</v>
      </c>
      <c r="S25" s="1">
        <v>14</v>
      </c>
      <c r="U25" s="1">
        <f>SUM(U20:U24)</f>
        <v>0</v>
      </c>
      <c r="Y25" s="1">
        <f>SUM(Y20:Y24)</f>
        <v>0</v>
      </c>
      <c r="Z25" s="1">
        <f>R25+Y25</f>
        <v>0</v>
      </c>
      <c r="AA25" s="1">
        <f>U25+Y25</f>
        <v>0</v>
      </c>
      <c r="AL25" s="1296">
        <f>Z25+AL45</f>
        <v>0</v>
      </c>
      <c r="AM25" s="1297">
        <f>AA25+AM45</f>
        <v>0</v>
      </c>
    </row>
    <row r="26" spans="2:39" ht="11.45" customHeight="1" x14ac:dyDescent="0.2">
      <c r="B26" s="1606" t="s">
        <v>1385</v>
      </c>
      <c r="C26" s="1603"/>
      <c r="D26" s="1603"/>
      <c r="E26" s="1603"/>
      <c r="F26" s="2077"/>
      <c r="G26" s="1603"/>
      <c r="H26" s="1603"/>
      <c r="I26" s="1603"/>
      <c r="J26" s="1603"/>
      <c r="K26" s="1603"/>
      <c r="L26" s="1328"/>
      <c r="O26" s="1">
        <v>200</v>
      </c>
      <c r="P26" s="1">
        <v>8</v>
      </c>
      <c r="S26" s="1">
        <v>15</v>
      </c>
    </row>
    <row r="27" spans="2:39" ht="11.45" customHeight="1" thickBot="1" x14ac:dyDescent="0.25">
      <c r="B27" s="2082" t="s">
        <v>2450</v>
      </c>
      <c r="C27" s="2083"/>
      <c r="D27" s="2083"/>
      <c r="E27" s="2084"/>
      <c r="F27" s="2081" t="s">
        <v>2451</v>
      </c>
      <c r="G27" s="1603"/>
      <c r="H27" s="1603"/>
      <c r="I27" s="1603"/>
      <c r="J27" s="1603"/>
      <c r="K27" s="1603"/>
      <c r="L27" s="1328"/>
    </row>
    <row r="28" spans="2:39" ht="11.45" customHeight="1" x14ac:dyDescent="0.2">
      <c r="B28" s="932" t="s">
        <v>2454</v>
      </c>
      <c r="C28" s="395" t="s">
        <v>164</v>
      </c>
      <c r="D28" s="395" t="s">
        <v>2445</v>
      </c>
      <c r="E28" s="128" t="s">
        <v>2446</v>
      </c>
      <c r="F28" s="932" t="s">
        <v>2454</v>
      </c>
      <c r="G28" s="164" t="s">
        <v>3418</v>
      </c>
      <c r="H28" s="140" t="s">
        <v>2447</v>
      </c>
      <c r="I28" s="142" t="s">
        <v>2448</v>
      </c>
      <c r="J28" s="142" t="s">
        <v>2449</v>
      </c>
      <c r="K28" s="142" t="s">
        <v>2445</v>
      </c>
      <c r="L28" s="395" t="s">
        <v>2446</v>
      </c>
      <c r="M28" s="1" t="s">
        <v>3655</v>
      </c>
      <c r="N28" s="1" t="s">
        <v>3983</v>
      </c>
      <c r="O28" s="1286">
        <v>5</v>
      </c>
      <c r="P28" s="1287">
        <v>10</v>
      </c>
      <c r="Q28" s="1287">
        <v>15</v>
      </c>
      <c r="R28" s="1287">
        <v>25</v>
      </c>
      <c r="S28" s="1287">
        <v>50</v>
      </c>
      <c r="T28" s="1287">
        <v>100</v>
      </c>
      <c r="U28" s="1288">
        <v>200</v>
      </c>
      <c r="V28" s="1286">
        <v>5</v>
      </c>
      <c r="W28" s="1287">
        <v>10</v>
      </c>
      <c r="X28" s="1287">
        <v>15</v>
      </c>
      <c r="Y28" s="1287">
        <v>25</v>
      </c>
      <c r="Z28" s="1287">
        <v>50</v>
      </c>
      <c r="AA28" s="1287">
        <v>100</v>
      </c>
      <c r="AB28" s="1288">
        <v>200</v>
      </c>
    </row>
    <row r="29" spans="2:39" ht="11.45" customHeight="1" x14ac:dyDescent="0.2">
      <c r="B29" s="609"/>
      <c r="C29" s="88"/>
      <c r="D29" s="88" t="str">
        <f>R20</f>
        <v/>
      </c>
      <c r="E29" s="88" t="str">
        <f>U20</f>
        <v/>
      </c>
      <c r="F29" s="609"/>
      <c r="G29" s="88"/>
      <c r="H29" s="71"/>
      <c r="I29" s="71"/>
      <c r="J29" s="88"/>
      <c r="K29" s="142" t="str">
        <f t="shared" ref="K29:L33" si="0">AL40</f>
        <v/>
      </c>
      <c r="L29" s="142" t="str">
        <f t="shared" si="0"/>
        <v/>
      </c>
      <c r="M29" s="2" t="str">
        <f t="shared" ref="M29:M38" si="1">LEFT(N29,6)</f>
        <v>5F-ssd</v>
      </c>
      <c r="N29" s="1" t="s">
        <v>3656</v>
      </c>
      <c r="O29" s="1289">
        <v>30</v>
      </c>
      <c r="P29" s="1285">
        <v>59</v>
      </c>
      <c r="Q29" s="1285">
        <v>89</v>
      </c>
      <c r="R29" s="1285">
        <v>149</v>
      </c>
      <c r="S29" s="1285">
        <v>297</v>
      </c>
      <c r="T29" s="1285">
        <v>594</v>
      </c>
      <c r="U29" s="1290">
        <v>1189</v>
      </c>
      <c r="V29" s="1289">
        <v>15</v>
      </c>
      <c r="W29" s="1285">
        <v>29</v>
      </c>
      <c r="X29" s="1285">
        <v>44</v>
      </c>
      <c r="Y29" s="1285">
        <v>74</v>
      </c>
      <c r="Z29" s="1285">
        <v>147</v>
      </c>
      <c r="AA29" s="1285">
        <v>295</v>
      </c>
      <c r="AB29" s="1290">
        <v>590</v>
      </c>
    </row>
    <row r="30" spans="2:39" ht="11.45" customHeight="1" x14ac:dyDescent="0.2">
      <c r="B30" s="609"/>
      <c r="C30" s="88"/>
      <c r="D30" s="88" t="str">
        <f>R21</f>
        <v/>
      </c>
      <c r="E30" s="88" t="str">
        <f>U21</f>
        <v/>
      </c>
      <c r="F30" s="609"/>
      <c r="G30" s="88"/>
      <c r="H30" s="71"/>
      <c r="I30" s="71"/>
      <c r="J30" s="88"/>
      <c r="K30" s="142" t="str">
        <f t="shared" si="0"/>
        <v/>
      </c>
      <c r="L30" s="142" t="str">
        <f t="shared" si="0"/>
        <v/>
      </c>
      <c r="M30" s="2" t="str">
        <f t="shared" si="1"/>
        <v>5F-ssd</v>
      </c>
      <c r="N30" s="1" t="s">
        <v>3657</v>
      </c>
      <c r="O30" s="1289">
        <v>30</v>
      </c>
      <c r="P30" s="1285">
        <v>59</v>
      </c>
      <c r="Q30" s="1285">
        <v>89</v>
      </c>
      <c r="R30" s="1285">
        <v>149</v>
      </c>
      <c r="S30" s="1285">
        <v>297</v>
      </c>
      <c r="T30" s="1285">
        <v>594</v>
      </c>
      <c r="U30" s="1290">
        <v>637</v>
      </c>
      <c r="V30" s="1289">
        <v>15</v>
      </c>
      <c r="W30" s="1285">
        <v>29</v>
      </c>
      <c r="X30" s="1285">
        <v>44</v>
      </c>
      <c r="Y30" s="1285">
        <v>74</v>
      </c>
      <c r="Z30" s="1285">
        <v>147</v>
      </c>
      <c r="AA30" s="1285">
        <v>295</v>
      </c>
      <c r="AB30" s="1290">
        <v>316</v>
      </c>
    </row>
    <row r="31" spans="2:39" ht="11.45" customHeight="1" x14ac:dyDescent="0.2">
      <c r="B31" s="609"/>
      <c r="C31" s="88"/>
      <c r="D31" s="88" t="str">
        <f>R22</f>
        <v/>
      </c>
      <c r="E31" s="88" t="str">
        <f>U22</f>
        <v/>
      </c>
      <c r="F31" s="146"/>
      <c r="G31" s="88"/>
      <c r="H31" s="71"/>
      <c r="I31" s="71"/>
      <c r="J31" s="88"/>
      <c r="K31" s="142" t="str">
        <f t="shared" si="0"/>
        <v/>
      </c>
      <c r="L31" s="142" t="str">
        <f t="shared" si="0"/>
        <v/>
      </c>
      <c r="M31" s="2" t="str">
        <f t="shared" si="1"/>
        <v>5F-dsf</v>
      </c>
      <c r="N31" s="1" t="s">
        <v>3660</v>
      </c>
      <c r="O31" s="1289">
        <v>59</v>
      </c>
      <c r="P31" s="1285">
        <v>119</v>
      </c>
      <c r="Q31" s="1285">
        <v>178</v>
      </c>
      <c r="R31" s="1285">
        <v>297</v>
      </c>
      <c r="S31" s="1285">
        <v>594</v>
      </c>
      <c r="T31" s="1285">
        <v>1189</v>
      </c>
      <c r="U31" s="1290">
        <v>2377</v>
      </c>
      <c r="V31" s="1289">
        <v>29</v>
      </c>
      <c r="W31" s="1285">
        <v>59</v>
      </c>
      <c r="X31" s="1285">
        <v>88</v>
      </c>
      <c r="Y31" s="1285">
        <v>147</v>
      </c>
      <c r="Z31" s="1285">
        <v>295</v>
      </c>
      <c r="AA31" s="1285">
        <v>590</v>
      </c>
      <c r="AB31" s="1290">
        <v>1179</v>
      </c>
    </row>
    <row r="32" spans="2:39" ht="11.45" customHeight="1" x14ac:dyDescent="0.2">
      <c r="B32" s="609"/>
      <c r="C32" s="88"/>
      <c r="D32" s="88" t="str">
        <f>R23</f>
        <v/>
      </c>
      <c r="E32" s="88" t="str">
        <f>U23</f>
        <v/>
      </c>
      <c r="F32" s="146"/>
      <c r="G32" s="88"/>
      <c r="H32" s="71"/>
      <c r="I32" s="71"/>
      <c r="J32" s="88"/>
      <c r="K32" s="142" t="str">
        <f t="shared" si="0"/>
        <v/>
      </c>
      <c r="L32" s="142" t="str">
        <f t="shared" si="0"/>
        <v/>
      </c>
      <c r="M32" s="2" t="str">
        <f t="shared" si="1"/>
        <v>5F-dsd</v>
      </c>
      <c r="N32" s="1" t="s">
        <v>3661</v>
      </c>
      <c r="O32" s="1289">
        <v>59</v>
      </c>
      <c r="P32" s="1285">
        <v>119</v>
      </c>
      <c r="Q32" s="1285">
        <v>178</v>
      </c>
      <c r="R32" s="1285">
        <v>297</v>
      </c>
      <c r="S32" s="1285">
        <v>594</v>
      </c>
      <c r="T32" s="1285">
        <v>1189</v>
      </c>
      <c r="U32" s="1290">
        <v>1274</v>
      </c>
      <c r="V32" s="1289">
        <v>29</v>
      </c>
      <c r="W32" s="1285">
        <v>59</v>
      </c>
      <c r="X32" s="1285">
        <v>88</v>
      </c>
      <c r="Y32" s="1285">
        <v>147</v>
      </c>
      <c r="Z32" s="1285">
        <v>295</v>
      </c>
      <c r="AA32" s="1285">
        <v>590</v>
      </c>
      <c r="AB32" s="1290">
        <v>632</v>
      </c>
    </row>
    <row r="33" spans="2:39" ht="11.45" customHeight="1" x14ac:dyDescent="0.2">
      <c r="B33" s="609"/>
      <c r="C33" s="88"/>
      <c r="D33" s="88" t="str">
        <f>R24</f>
        <v/>
      </c>
      <c r="E33" s="88" t="str">
        <f>U24</f>
        <v/>
      </c>
      <c r="F33" s="146"/>
      <c r="G33" s="88"/>
      <c r="H33" s="71"/>
      <c r="I33" s="71"/>
      <c r="J33" s="88"/>
      <c r="K33" s="142" t="str">
        <f t="shared" si="0"/>
        <v/>
      </c>
      <c r="L33" s="142" t="str">
        <f t="shared" si="0"/>
        <v/>
      </c>
      <c r="M33" s="2" t="str">
        <f t="shared" si="1"/>
        <v>5F-sad</v>
      </c>
      <c r="N33" s="1" t="s">
        <v>3658</v>
      </c>
      <c r="O33" s="1289">
        <v>80</v>
      </c>
      <c r="P33" s="1285">
        <v>161</v>
      </c>
      <c r="Q33" s="1285">
        <v>241</v>
      </c>
      <c r="R33" s="1285">
        <v>402</v>
      </c>
      <c r="S33" s="1285">
        <v>803</v>
      </c>
      <c r="T33" s="1285">
        <v>1607</v>
      </c>
      <c r="U33" s="1290">
        <v>3213</v>
      </c>
      <c r="V33" s="1289">
        <v>40</v>
      </c>
      <c r="W33" s="1285">
        <v>80</v>
      </c>
      <c r="X33" s="1285">
        <v>119</v>
      </c>
      <c r="Y33" s="1285">
        <v>199</v>
      </c>
      <c r="Z33" s="1285">
        <v>398</v>
      </c>
      <c r="AA33" s="1285">
        <v>796</v>
      </c>
      <c r="AB33" s="1290">
        <v>1592</v>
      </c>
    </row>
    <row r="34" spans="2:39" ht="11.45" customHeight="1" x14ac:dyDescent="0.2">
      <c r="B34" s="2078" t="s">
        <v>854</v>
      </c>
      <c r="C34" s="2079"/>
      <c r="D34" s="142">
        <f>SUM(D29:D33)</f>
        <v>0</v>
      </c>
      <c r="E34" s="142">
        <f>SUM(E29:E33)</f>
        <v>0</v>
      </c>
      <c r="F34" s="400"/>
      <c r="G34" s="166"/>
      <c r="H34" s="153"/>
      <c r="I34" s="2080" t="s">
        <v>854</v>
      </c>
      <c r="J34" s="2079"/>
      <c r="K34" s="142">
        <f>SUM(K29:K33)</f>
        <v>0</v>
      </c>
      <c r="L34" s="142">
        <f>SUM(L29:L33)</f>
        <v>0</v>
      </c>
      <c r="M34" s="2" t="str">
        <f t="shared" si="1"/>
        <v>5F-sad</v>
      </c>
      <c r="N34" s="1" t="s">
        <v>3659</v>
      </c>
      <c r="O34" s="1289">
        <v>54</v>
      </c>
      <c r="P34" s="1285">
        <v>107</v>
      </c>
      <c r="Q34" s="1285">
        <v>161</v>
      </c>
      <c r="R34" s="1285">
        <v>268</v>
      </c>
      <c r="S34" s="1285">
        <v>356</v>
      </c>
      <c r="T34" s="1285">
        <v>1071</v>
      </c>
      <c r="U34" s="1290">
        <v>2142</v>
      </c>
      <c r="V34" s="1289">
        <v>27</v>
      </c>
      <c r="W34" s="1285">
        <v>53</v>
      </c>
      <c r="X34" s="1285">
        <v>80</v>
      </c>
      <c r="Y34" s="1285">
        <v>133</v>
      </c>
      <c r="Z34" s="1285">
        <v>266</v>
      </c>
      <c r="AA34" s="1285">
        <v>631</v>
      </c>
      <c r="AB34" s="1290">
        <v>1063</v>
      </c>
    </row>
    <row r="35" spans="2:39" ht="11.45" customHeight="1" x14ac:dyDescent="0.2">
      <c r="B35" s="2066"/>
      <c r="C35" s="1603"/>
      <c r="D35" s="1603"/>
      <c r="E35" s="1603"/>
      <c r="F35" s="1603"/>
      <c r="G35" s="1603"/>
      <c r="H35" s="1603"/>
      <c r="I35" s="1603"/>
      <c r="J35" s="1603"/>
      <c r="K35" s="1603"/>
      <c r="L35" s="1328"/>
      <c r="M35" s="2" t="str">
        <f t="shared" si="1"/>
        <v>5F-dad</v>
      </c>
      <c r="N35" s="1" t="s">
        <v>3662</v>
      </c>
      <c r="O35" s="1289">
        <v>161</v>
      </c>
      <c r="P35" s="1285">
        <v>321</v>
      </c>
      <c r="Q35" s="1285">
        <v>482</v>
      </c>
      <c r="R35" s="1285">
        <v>803</v>
      </c>
      <c r="S35" s="1285">
        <v>1607</v>
      </c>
      <c r="T35" s="1285">
        <v>3213</v>
      </c>
      <c r="U35" s="1290">
        <v>6426</v>
      </c>
      <c r="V35" s="1289">
        <v>80</v>
      </c>
      <c r="W35" s="1285">
        <v>159</v>
      </c>
      <c r="X35" s="1285">
        <v>239</v>
      </c>
      <c r="Y35" s="1285">
        <v>398</v>
      </c>
      <c r="Z35" s="1285">
        <v>796</v>
      </c>
      <c r="AA35" s="1285">
        <v>1592</v>
      </c>
      <c r="AB35" s="1290">
        <v>3184</v>
      </c>
    </row>
    <row r="36" spans="2:39" ht="11.45" customHeight="1" x14ac:dyDescent="0.2">
      <c r="B36" s="1606" t="s">
        <v>3193</v>
      </c>
      <c r="C36" s="1603"/>
      <c r="D36" s="1603"/>
      <c r="E36" s="1603"/>
      <c r="F36" s="2077"/>
      <c r="G36" s="1603"/>
      <c r="H36" s="1603"/>
      <c r="I36" s="1603"/>
      <c r="J36" s="1603"/>
      <c r="K36" s="1603"/>
      <c r="L36" s="1328"/>
      <c r="M36" s="2" t="str">
        <f t="shared" si="1"/>
        <v>5F-dad</v>
      </c>
      <c r="N36" s="1" t="s">
        <v>3663</v>
      </c>
      <c r="O36" s="1289">
        <v>107</v>
      </c>
      <c r="P36" s="1285">
        <v>214</v>
      </c>
      <c r="Q36" s="1285">
        <v>321</v>
      </c>
      <c r="R36" s="1285">
        <v>536</v>
      </c>
      <c r="S36" s="1285">
        <v>1071</v>
      </c>
      <c r="T36" s="1285">
        <v>2142</v>
      </c>
      <c r="U36" s="1290">
        <v>4284</v>
      </c>
      <c r="V36" s="1289">
        <v>53</v>
      </c>
      <c r="W36" s="1285">
        <v>106</v>
      </c>
      <c r="X36" s="1285">
        <v>159</v>
      </c>
      <c r="Y36" s="1285">
        <v>266</v>
      </c>
      <c r="Z36" s="1285">
        <v>531</v>
      </c>
      <c r="AA36" s="1285">
        <v>1063</v>
      </c>
      <c r="AB36" s="1290">
        <v>2125</v>
      </c>
    </row>
    <row r="37" spans="2:39" ht="11.45" customHeight="1" thickBot="1" x14ac:dyDescent="0.25">
      <c r="B37" s="1663" t="s">
        <v>3198</v>
      </c>
      <c r="C37" s="1785"/>
      <c r="D37" s="1371" t="s">
        <v>3196</v>
      </c>
      <c r="E37" s="1603"/>
      <c r="F37" s="1603"/>
      <c r="G37" s="1328"/>
      <c r="H37" s="393"/>
      <c r="I37" s="1371" t="s">
        <v>3197</v>
      </c>
      <c r="J37" s="1603"/>
      <c r="K37" s="1603"/>
      <c r="L37" s="1328"/>
      <c r="M37" s="2" t="str">
        <f t="shared" si="1"/>
        <v>5F-mrd</v>
      </c>
      <c r="N37" s="1" t="s">
        <v>3664</v>
      </c>
      <c r="O37" s="1291">
        <v>4</v>
      </c>
      <c r="P37" s="1292">
        <v>9</v>
      </c>
      <c r="Q37" s="1292">
        <v>13</v>
      </c>
      <c r="R37" s="1292">
        <v>21</v>
      </c>
      <c r="S37" s="1292">
        <v>43</v>
      </c>
      <c r="T37" s="1292">
        <v>85</v>
      </c>
      <c r="U37" s="1293">
        <v>170</v>
      </c>
      <c r="V37" s="1291">
        <v>4</v>
      </c>
      <c r="W37" s="1292">
        <v>9</v>
      </c>
      <c r="X37" s="1292">
        <v>13</v>
      </c>
      <c r="Y37" s="1292">
        <v>21</v>
      </c>
      <c r="Z37" s="1292">
        <v>43</v>
      </c>
      <c r="AA37" s="1292">
        <v>85</v>
      </c>
      <c r="AB37" s="1293">
        <v>170</v>
      </c>
    </row>
    <row r="38" spans="2:39" ht="11.45" customHeight="1" x14ac:dyDescent="0.2">
      <c r="B38" s="1777"/>
      <c r="C38" s="1786"/>
      <c r="D38" s="5" t="s">
        <v>2115</v>
      </c>
      <c r="E38" s="5" t="s">
        <v>3194</v>
      </c>
      <c r="F38" s="5" t="s">
        <v>3195</v>
      </c>
      <c r="G38" s="5" t="s">
        <v>163</v>
      </c>
      <c r="H38" s="394"/>
      <c r="I38" s="5" t="s">
        <v>2115</v>
      </c>
      <c r="J38" s="5" t="s">
        <v>3194</v>
      </c>
      <c r="K38" s="5" t="s">
        <v>3195</v>
      </c>
      <c r="L38" s="5" t="s">
        <v>163</v>
      </c>
      <c r="M38" s="2" t="str">
        <f t="shared" si="1"/>
        <v>5F-ard</v>
      </c>
      <c r="N38" s="1" t="s">
        <v>3665</v>
      </c>
    </row>
    <row r="39" spans="2:39" ht="11.45" customHeight="1" x14ac:dyDescent="0.2">
      <c r="B39" s="1777"/>
      <c r="C39" s="1786"/>
      <c r="D39" s="671">
        <f>IF(((H9+H19)&gt;2),"use 1 or 2",IF(H9=1,I14,IF(H19=2,I23,"use1or2")))</f>
        <v>0</v>
      </c>
      <c r="E39" s="419">
        <f>D34</f>
        <v>0</v>
      </c>
      <c r="F39" s="419">
        <f>K34</f>
        <v>0</v>
      </c>
      <c r="G39" s="420">
        <f>D39+E39+F39</f>
        <v>0</v>
      </c>
      <c r="H39" s="394"/>
      <c r="I39" s="671">
        <f>IF(((H9+H19)&gt;2),"use 1 or 2",IF(H9=1,I15,IF(H19=2,I24,"use1or2")))</f>
        <v>0</v>
      </c>
      <c r="J39" s="419">
        <f>E34</f>
        <v>0</v>
      </c>
      <c r="K39" s="419">
        <f>L34</f>
        <v>0</v>
      </c>
      <c r="L39" s="420">
        <f>I39+J39+K39</f>
        <v>0</v>
      </c>
      <c r="M39" s="54"/>
      <c r="AD39" s="1" t="s">
        <v>164</v>
      </c>
      <c r="AF39" s="1" t="s">
        <v>457</v>
      </c>
      <c r="AH39" s="1" t="s">
        <v>457</v>
      </c>
      <c r="AI39" s="1" t="s">
        <v>3672</v>
      </c>
      <c r="AJ39" s="1" t="s">
        <v>3673</v>
      </c>
      <c r="AK39" s="1" t="s">
        <v>456</v>
      </c>
      <c r="AL39" s="1" t="s">
        <v>3669</v>
      </c>
      <c r="AM39" s="1" t="s">
        <v>3668</v>
      </c>
    </row>
    <row r="40" spans="2:39" ht="11.45" customHeight="1" x14ac:dyDescent="0.2">
      <c r="B40" s="2066"/>
      <c r="C40" s="1603"/>
      <c r="D40" s="1603"/>
      <c r="E40" s="1603"/>
      <c r="F40" s="1603"/>
      <c r="G40" s="1603"/>
      <c r="H40" s="1603"/>
      <c r="I40" s="1603"/>
      <c r="J40" s="1603"/>
      <c r="K40" s="1603"/>
      <c r="L40" s="1328"/>
      <c r="M40" s="54"/>
      <c r="O40" s="1">
        <v>1</v>
      </c>
      <c r="P40" s="1">
        <v>2</v>
      </c>
      <c r="Q40" s="1">
        <v>3</v>
      </c>
      <c r="R40" s="1">
        <v>4</v>
      </c>
      <c r="S40" s="1">
        <v>6</v>
      </c>
      <c r="T40" s="1">
        <v>8</v>
      </c>
      <c r="U40" s="1">
        <v>10</v>
      </c>
      <c r="V40" s="1">
        <v>1</v>
      </c>
      <c r="W40" s="1">
        <v>2</v>
      </c>
      <c r="X40" s="1">
        <v>3</v>
      </c>
      <c r="Y40" s="1">
        <v>4</v>
      </c>
      <c r="Z40" s="1">
        <v>6</v>
      </c>
      <c r="AA40" s="1">
        <v>8</v>
      </c>
      <c r="AB40" s="1">
        <v>10</v>
      </c>
      <c r="AD40" s="1">
        <v>1</v>
      </c>
      <c r="AE40" s="1">
        <v>2</v>
      </c>
      <c r="AF40" s="1" t="str">
        <f>IF(InfiltrationI!B19="","",VLOOKUP(InfiltrationI!AK19,'Wrk F'!$AD$40:$AE$46,2))</f>
        <v/>
      </c>
      <c r="AG40" s="1">
        <v>9</v>
      </c>
      <c r="AH40" s="1" t="str">
        <f>IF(InfiltrationI!B19="","",VLOOKUP(InfiltrationI!AK19,'Wrk F'!$AD$40:$AG$46,4))</f>
        <v/>
      </c>
      <c r="AI40" s="1" t="e">
        <f>VLOOKUP(InfiltrationI!B19,'Wrk F'!N41:U45,'Wrk F'!AF40)</f>
        <v>#N/A</v>
      </c>
      <c r="AJ40" s="1" t="e">
        <f>VLOOKUP(InfiltrationI!B19,'Wrk F'!N41:AB45,'Wrk F'!AH40)</f>
        <v>#N/A</v>
      </c>
      <c r="AK40" s="1">
        <f>InfiltrationI!AM19</f>
        <v>0</v>
      </c>
      <c r="AL40" s="1" t="str">
        <f>IF(InfiltrationI!B19="","",AI40*AK40)</f>
        <v/>
      </c>
      <c r="AM40" s="1" t="str">
        <f>IF(InfiltrationI!B19="","",AJ40*AK40)</f>
        <v/>
      </c>
    </row>
    <row r="41" spans="2:39" ht="11.45" customHeight="1" x14ac:dyDescent="0.2">
      <c r="B41" s="2067" t="s">
        <v>3199</v>
      </c>
      <c r="C41" s="2068"/>
      <c r="D41" s="2068"/>
      <c r="E41" s="2068"/>
      <c r="F41" s="2068"/>
      <c r="G41" s="2068"/>
      <c r="H41" s="2068"/>
      <c r="I41" s="2068"/>
      <c r="J41" s="2068"/>
      <c r="K41" s="2068"/>
      <c r="L41" s="2069"/>
      <c r="M41" s="54"/>
      <c r="N41" s="1" t="s">
        <v>4170</v>
      </c>
      <c r="O41" s="1">
        <v>8.3000000000000007</v>
      </c>
      <c r="P41" s="1">
        <v>16.5</v>
      </c>
      <c r="Q41" s="1">
        <v>24.8</v>
      </c>
      <c r="R41" s="1">
        <v>33</v>
      </c>
      <c r="S41" s="1">
        <v>49.5</v>
      </c>
      <c r="T41" s="1">
        <v>66</v>
      </c>
      <c r="U41" s="1">
        <v>82.5</v>
      </c>
      <c r="V41" s="1">
        <v>4.0999999999999996</v>
      </c>
      <c r="W41" s="1">
        <v>8.1999999999999993</v>
      </c>
      <c r="X41" s="1">
        <v>12.4</v>
      </c>
      <c r="Y41" s="1">
        <v>16.5</v>
      </c>
      <c r="Z41" s="1">
        <v>24.8</v>
      </c>
      <c r="AA41" s="1">
        <v>33</v>
      </c>
      <c r="AB41" s="1">
        <v>41.3</v>
      </c>
      <c r="AD41" s="1">
        <v>2</v>
      </c>
      <c r="AE41" s="1">
        <v>3</v>
      </c>
      <c r="AF41" s="1" t="str">
        <f>IF(InfiltrationI!B20="","",VLOOKUP(InfiltrationI!AK20,'Wrk F'!$AD$40:$AE$46,2))</f>
        <v/>
      </c>
      <c r="AG41" s="1">
        <v>10</v>
      </c>
      <c r="AH41" s="1" t="str">
        <f>IF(InfiltrationI!B20="","",VLOOKUP(InfiltrationI!AK20,'Wrk F'!$AD$40:$AG$46,4))</f>
        <v/>
      </c>
      <c r="AI41" s="1" t="e">
        <f>VLOOKUP(InfiltrationI!B20,'Wrk F'!N42:U46,'Wrk F'!AF41)</f>
        <v>#N/A</v>
      </c>
      <c r="AJ41" s="1" t="e">
        <f>VLOOKUP(InfiltrationI!B20,'Wrk F'!N42:AB46,'Wrk F'!AH41)</f>
        <v>#N/A</v>
      </c>
      <c r="AK41" s="1">
        <f>InfiltrationI!AM20</f>
        <v>0</v>
      </c>
      <c r="AL41" s="1" t="str">
        <f>IF(InfiltrationI!B20="","",AI41*AK41)</f>
        <v/>
      </c>
      <c r="AM41" s="1" t="str">
        <f>IF(InfiltrationI!B20="","",AJ41*AK41)</f>
        <v/>
      </c>
    </row>
    <row r="42" spans="2:39" ht="11.45" customHeight="1" x14ac:dyDescent="0.2">
      <c r="B42" s="2070"/>
      <c r="C42" s="2071"/>
      <c r="D42" s="2071"/>
      <c r="E42" s="2071"/>
      <c r="F42" s="2071"/>
      <c r="G42" s="2071"/>
      <c r="H42" s="2071"/>
      <c r="I42" s="2071"/>
      <c r="J42" s="2071"/>
      <c r="K42" s="2071"/>
      <c r="L42" s="2072"/>
      <c r="M42" s="54"/>
      <c r="N42" s="1" t="s">
        <v>4171</v>
      </c>
      <c r="O42" s="1">
        <v>6.6</v>
      </c>
      <c r="P42" s="1">
        <v>13.2</v>
      </c>
      <c r="Q42" s="1">
        <v>19.8</v>
      </c>
      <c r="R42" s="1">
        <v>26.4</v>
      </c>
      <c r="S42" s="1">
        <v>39.6</v>
      </c>
      <c r="T42" s="1">
        <v>52.8</v>
      </c>
      <c r="U42" s="1">
        <v>66</v>
      </c>
      <c r="V42" s="1">
        <v>3.3</v>
      </c>
      <c r="W42" s="1">
        <v>6.6</v>
      </c>
      <c r="X42" s="1">
        <v>9.9</v>
      </c>
      <c r="Y42" s="1">
        <v>13.2</v>
      </c>
      <c r="Z42" s="1">
        <v>19.8</v>
      </c>
      <c r="AA42" s="1">
        <v>26.4</v>
      </c>
      <c r="AB42" s="1">
        <v>33</v>
      </c>
      <c r="AD42" s="1">
        <v>3</v>
      </c>
      <c r="AE42" s="1">
        <v>4</v>
      </c>
      <c r="AF42" s="1" t="str">
        <f>IF(InfiltrationI!B21="","",VLOOKUP(InfiltrationI!AK21,'Wrk F'!$AD$40:$AE$46,2))</f>
        <v/>
      </c>
      <c r="AG42" s="1">
        <v>11</v>
      </c>
      <c r="AH42" s="1" t="str">
        <f>IF(InfiltrationI!B21="","",VLOOKUP(InfiltrationI!AK21,'Wrk F'!$AD$40:$AG$46,4))</f>
        <v/>
      </c>
      <c r="AI42" s="1" t="e">
        <f>VLOOKUP(InfiltrationI!B21,'Wrk F'!N43:U47,'Wrk F'!AF42)</f>
        <v>#N/A</v>
      </c>
      <c r="AJ42" s="1" t="e">
        <f>VLOOKUP(InfiltrationI!B21,'Wrk F'!N43:AB47,'Wrk F'!AH42)</f>
        <v>#N/A</v>
      </c>
      <c r="AK42" s="1">
        <f>InfiltrationI!AM21</f>
        <v>0</v>
      </c>
      <c r="AL42" s="1" t="str">
        <f>IF(InfiltrationI!B21="","",AI42*AK42)</f>
        <v/>
      </c>
      <c r="AM42" s="1" t="str">
        <f>IF(InfiltrationI!B21="","",AJ42*AK42)</f>
        <v/>
      </c>
    </row>
    <row r="43" spans="2:39" ht="11.45" customHeight="1" x14ac:dyDescent="0.2">
      <c r="B43" s="90"/>
      <c r="C43" s="771">
        <f>SUM('Form N1'!O10:O49)</f>
        <v>0</v>
      </c>
      <c r="D43" s="288" t="s">
        <v>3111</v>
      </c>
      <c r="E43" s="95"/>
      <c r="F43" s="95"/>
      <c r="G43" s="95"/>
      <c r="H43" s="95"/>
      <c r="I43" s="95"/>
      <c r="J43" s="95"/>
      <c r="K43" s="95"/>
      <c r="L43" s="103"/>
      <c r="M43" s="54"/>
      <c r="N43" s="1" t="s">
        <v>4172</v>
      </c>
      <c r="O43" s="1">
        <v>5.4</v>
      </c>
      <c r="P43" s="1">
        <v>10.7</v>
      </c>
      <c r="Q43" s="1">
        <v>16.100000000000001</v>
      </c>
      <c r="R43" s="1">
        <v>21.5</v>
      </c>
      <c r="S43" s="1">
        <v>32.200000000000003</v>
      </c>
      <c r="T43" s="1">
        <v>42.9</v>
      </c>
      <c r="U43" s="1">
        <v>53.6</v>
      </c>
      <c r="V43" s="1">
        <v>2.7</v>
      </c>
      <c r="W43" s="1">
        <v>5.4</v>
      </c>
      <c r="X43" s="1">
        <v>8</v>
      </c>
      <c r="Y43" s="1">
        <v>10.7</v>
      </c>
      <c r="Z43" s="1">
        <v>16.100000000000001</v>
      </c>
      <c r="AA43" s="1">
        <v>21.5</v>
      </c>
      <c r="AB43" s="1">
        <v>26.8</v>
      </c>
      <c r="AD43" s="1">
        <v>4</v>
      </c>
      <c r="AE43" s="1">
        <v>5</v>
      </c>
      <c r="AF43" s="1" t="str">
        <f>IF(InfiltrationI!B22="","",VLOOKUP(InfiltrationI!AK22,'Wrk F'!$AD$40:$AE$46,2))</f>
        <v/>
      </c>
      <c r="AG43" s="1">
        <v>12</v>
      </c>
      <c r="AH43" s="1" t="str">
        <f>IF(InfiltrationI!B22="","",VLOOKUP(InfiltrationI!AK22,'Wrk F'!$AD$40:$AG$46,4))</f>
        <v/>
      </c>
      <c r="AI43" s="1" t="e">
        <f>VLOOKUP(InfiltrationI!B22,'Wrk F'!N44:U48,'Wrk F'!AF43)</f>
        <v>#N/A</v>
      </c>
      <c r="AJ43" s="1" t="e">
        <f>VLOOKUP(InfiltrationI!B22,'Wrk F'!N44:AB48,'Wrk F'!AH43)</f>
        <v>#N/A</v>
      </c>
      <c r="AK43" s="1">
        <f>InfiltrationI!AM22</f>
        <v>0</v>
      </c>
      <c r="AL43" s="1" t="str">
        <f>IF(InfiltrationI!B22="","",AI43*AK43)</f>
        <v/>
      </c>
      <c r="AM43" s="1" t="str">
        <f>IF(InfiltrationI!B22="","",AJ43*AK43)</f>
        <v/>
      </c>
    </row>
    <row r="44" spans="2:39" ht="11.45" customHeight="1" thickBot="1" x14ac:dyDescent="0.25">
      <c r="B44" s="401" t="s">
        <v>1176</v>
      </c>
      <c r="C44" s="402" t="s">
        <v>29</v>
      </c>
      <c r="D44" s="396" t="s">
        <v>941</v>
      </c>
      <c r="E44" s="309" t="s">
        <v>3637</v>
      </c>
      <c r="F44" s="309" t="s">
        <v>745</v>
      </c>
      <c r="G44" s="309" t="s">
        <v>746</v>
      </c>
      <c r="H44" s="143" t="s">
        <v>748</v>
      </c>
      <c r="I44" s="396" t="s">
        <v>163</v>
      </c>
      <c r="J44" s="309" t="s">
        <v>750</v>
      </c>
      <c r="K44" s="309" t="s">
        <v>751</v>
      </c>
      <c r="L44" s="309" t="s">
        <v>754</v>
      </c>
      <c r="M44" s="54"/>
      <c r="N44" s="1" t="s">
        <v>4173</v>
      </c>
      <c r="O44" s="1">
        <v>4.0999999999999996</v>
      </c>
      <c r="P44" s="1">
        <v>8.3000000000000007</v>
      </c>
      <c r="Q44" s="1">
        <v>12.4</v>
      </c>
      <c r="R44" s="1">
        <v>16.5</v>
      </c>
      <c r="S44" s="1">
        <v>24.8</v>
      </c>
      <c r="T44" s="1">
        <v>33</v>
      </c>
      <c r="U44" s="1">
        <v>41.3</v>
      </c>
      <c r="V44" s="1">
        <v>2.1</v>
      </c>
      <c r="W44" s="1">
        <v>4.0999999999999996</v>
      </c>
      <c r="X44" s="1">
        <v>6.2</v>
      </c>
      <c r="Y44" s="1">
        <v>8.3000000000000007</v>
      </c>
      <c r="Z44" s="1">
        <v>12.4</v>
      </c>
      <c r="AA44" s="1">
        <v>16.5</v>
      </c>
      <c r="AB44" s="1">
        <v>20.6</v>
      </c>
      <c r="AD44" s="1">
        <v>6</v>
      </c>
      <c r="AE44" s="1">
        <v>6</v>
      </c>
      <c r="AF44" s="1" t="str">
        <f>IF(InfiltrationI!B23="","",VLOOKUP(InfiltrationI!AK23,'Wrk F'!$AD$40:$AE$46,2))</f>
        <v/>
      </c>
      <c r="AG44" s="1">
        <v>13</v>
      </c>
      <c r="AH44" s="1" t="str">
        <f>IF(InfiltrationI!B23="","",VLOOKUP(InfiltrationI!AK23,'Wrk F'!$AD$40:$AG$46,4))</f>
        <v/>
      </c>
      <c r="AI44" s="1" t="e">
        <f>VLOOKUP(InfiltrationI!B23,'Wrk F'!N45:U49,'Wrk F'!AF44)</f>
        <v>#N/A</v>
      </c>
      <c r="AJ44" s="1" t="e">
        <f>VLOOKUP(InfiltrationI!B23,'Wrk F'!N45:AB49,'Wrk F'!AH44)</f>
        <v>#N/A</v>
      </c>
      <c r="AK44" s="1">
        <f>InfiltrationI!AM23</f>
        <v>0</v>
      </c>
      <c r="AL44" s="1294" t="str">
        <f>IF(InfiltrationI!B23="","",AI44*AK44)</f>
        <v/>
      </c>
      <c r="AM44" s="1294" t="str">
        <f>IF(InfiltrationI!B23="","",AJ44*AK44)</f>
        <v/>
      </c>
    </row>
    <row r="45" spans="2:39" ht="11.45" customHeight="1" thickTop="1" x14ac:dyDescent="0.2">
      <c r="B45" s="403" t="s">
        <v>1053</v>
      </c>
      <c r="C45" s="404" t="s">
        <v>1011</v>
      </c>
      <c r="D45" s="397" t="s">
        <v>30</v>
      </c>
      <c r="E45" s="398" t="s">
        <v>1011</v>
      </c>
      <c r="F45" s="398" t="s">
        <v>1011</v>
      </c>
      <c r="G45" s="398" t="s">
        <v>747</v>
      </c>
      <c r="H45" s="144" t="s">
        <v>747</v>
      </c>
      <c r="I45" s="397" t="s">
        <v>749</v>
      </c>
      <c r="J45" s="398" t="s">
        <v>747</v>
      </c>
      <c r="K45" s="398" t="s">
        <v>752</v>
      </c>
      <c r="L45" s="398" t="s">
        <v>944</v>
      </c>
      <c r="M45" s="54"/>
      <c r="N45" s="1" t="s">
        <v>4174</v>
      </c>
      <c r="O45" s="1">
        <v>2.9</v>
      </c>
      <c r="P45" s="1">
        <v>5.8</v>
      </c>
      <c r="Q45" s="1">
        <v>8.6999999999999993</v>
      </c>
      <c r="R45" s="1">
        <v>11.6</v>
      </c>
      <c r="S45" s="1">
        <v>17.3</v>
      </c>
      <c r="T45" s="1">
        <v>23.1</v>
      </c>
      <c r="U45" s="1">
        <v>28.9</v>
      </c>
      <c r="V45" s="1">
        <v>1.4</v>
      </c>
      <c r="W45" s="1">
        <v>2.9</v>
      </c>
      <c r="X45" s="1">
        <v>4.3</v>
      </c>
      <c r="Y45" s="1">
        <v>5.8</v>
      </c>
      <c r="Z45" s="1">
        <v>8.6999999999999993</v>
      </c>
      <c r="AA45" s="1">
        <v>11.6</v>
      </c>
      <c r="AB45" s="1">
        <v>14.4</v>
      </c>
      <c r="AD45" s="1">
        <v>8</v>
      </c>
      <c r="AE45" s="1">
        <v>7</v>
      </c>
      <c r="AG45" s="1">
        <v>14</v>
      </c>
      <c r="AL45" s="1">
        <f>SUM(AL40:AL44)</f>
        <v>0</v>
      </c>
      <c r="AM45" s="1">
        <f>SUM(AM40:AM44)</f>
        <v>0</v>
      </c>
    </row>
    <row r="46" spans="2:39" ht="11.45" customHeight="1" x14ac:dyDescent="0.2">
      <c r="B46" s="405"/>
      <c r="C46" s="406"/>
      <c r="D46" s="399" t="s">
        <v>1011</v>
      </c>
      <c r="E46" s="165"/>
      <c r="F46" s="165"/>
      <c r="G46" s="165"/>
      <c r="H46" s="165"/>
      <c r="I46" s="165"/>
      <c r="J46" s="165"/>
      <c r="K46" s="165" t="s">
        <v>753</v>
      </c>
      <c r="L46" s="165" t="s">
        <v>860</v>
      </c>
      <c r="M46" s="54"/>
      <c r="AD46" s="1">
        <v>10</v>
      </c>
      <c r="AE46" s="1">
        <v>8</v>
      </c>
      <c r="AG46" s="1">
        <v>15</v>
      </c>
    </row>
    <row r="47" spans="2:39" ht="11.45" customHeight="1" x14ac:dyDescent="0.2">
      <c r="B47" s="407" t="s">
        <v>3200</v>
      </c>
      <c r="C47" s="421"/>
      <c r="D47" s="422"/>
      <c r="E47" s="422"/>
      <c r="F47" s="422"/>
      <c r="G47" s="142">
        <f>IF(H47&gt;0.3*I47,1,IF(ABS(H47&lt;=0.3*I47),IF(H47&lt;-0.3*I47,3,2)))</f>
        <v>2</v>
      </c>
      <c r="H47" s="419">
        <f>(C47+D47)-(E47+F47)</f>
        <v>0</v>
      </c>
      <c r="I47" s="419">
        <f>G39</f>
        <v>0</v>
      </c>
      <c r="J47" s="671">
        <f>IF(G47=1,I$62,IF(G47=2,I$65,IF(G47=3,I$68)))</f>
        <v>0</v>
      </c>
      <c r="K47" s="164">
        <f>IF(F14=0,0,J47*60/F14)</f>
        <v>0</v>
      </c>
      <c r="L47" s="1295">
        <f>1.1*$H$6*J47*D6</f>
        <v>0</v>
      </c>
      <c r="M47" s="54"/>
    </row>
    <row r="48" spans="2:39" ht="11.45" customHeight="1" x14ac:dyDescent="0.2">
      <c r="B48" s="407" t="s">
        <v>3201</v>
      </c>
      <c r="C48" s="2102"/>
      <c r="D48" s="2102"/>
      <c r="E48" s="2102"/>
      <c r="F48" s="2102"/>
      <c r="G48" s="2104">
        <f>IF(H48&gt;0.3*I48,1,IF(ABS(H48&lt;=0.3*I48),IF(H48&lt;-0.3*I48,3,2)))</f>
        <v>2</v>
      </c>
      <c r="H48" s="2100">
        <f>(C48+D48)-(E48+F48)</f>
        <v>0</v>
      </c>
      <c r="I48" s="2100">
        <f>L39</f>
        <v>0</v>
      </c>
      <c r="J48" s="2100">
        <f>IF(G48=1,K$62,IF(G48=2,K$65,IF(G48=3,K$68)))</f>
        <v>0</v>
      </c>
      <c r="K48" s="2075">
        <f>IF(F15=0,0,J48*60/F15)</f>
        <v>0</v>
      </c>
      <c r="L48" s="1295">
        <f>IF('Form N1'!P4&lt;0,0,1.1*$H$6*J48*E6)</f>
        <v>0</v>
      </c>
      <c r="M48" s="54"/>
    </row>
    <row r="49" spans="2:15" ht="11.45" customHeight="1" x14ac:dyDescent="0.2">
      <c r="B49" s="407" t="s">
        <v>28</v>
      </c>
      <c r="C49" s="2103"/>
      <c r="D49" s="2103"/>
      <c r="E49" s="2103"/>
      <c r="F49" s="2103"/>
      <c r="G49" s="2105">
        <f>IF(H49&gt;0.3*I49,1,IF(ABS(H49&lt;=0.3*I49),IF(H49&lt;-0.3*I49,3,2)))</f>
        <v>2</v>
      </c>
      <c r="H49" s="2101"/>
      <c r="I49" s="2101"/>
      <c r="J49" s="2101">
        <f>IF(G49=1,I$62,IF(G49=2,I$65,IF(G49=3,I$68)))</f>
        <v>0</v>
      </c>
      <c r="K49" s="2076"/>
      <c r="L49" s="1295">
        <f>IF('Form N1'!P5&lt;0,0,0.68*$H$6*J48*F6)</f>
        <v>0</v>
      </c>
      <c r="M49" s="54"/>
    </row>
    <row r="50" spans="2:15" ht="11.45" customHeight="1" x14ac:dyDescent="0.2">
      <c r="B50" s="2004" t="s">
        <v>4145</v>
      </c>
      <c r="C50" s="2073"/>
      <c r="D50" s="2073"/>
      <c r="E50" s="2073"/>
      <c r="F50" s="2073"/>
      <c r="G50" s="2073"/>
      <c r="H50" s="2073"/>
      <c r="I50" s="2073"/>
      <c r="J50" s="2073"/>
      <c r="K50" s="2073"/>
      <c r="L50" s="2074"/>
    </row>
    <row r="51" spans="2:15" ht="11.45" customHeight="1" x14ac:dyDescent="0.2">
      <c r="B51" s="1385"/>
      <c r="C51" s="1388"/>
      <c r="D51" s="1388"/>
      <c r="E51" s="1388"/>
      <c r="F51" s="1388"/>
      <c r="G51" s="1388"/>
      <c r="H51" s="1388"/>
      <c r="I51" s="1388"/>
      <c r="J51" s="1388"/>
      <c r="K51" s="1388"/>
      <c r="L51" s="1387"/>
    </row>
    <row r="52" spans="2:15" ht="11.45" customHeight="1" x14ac:dyDescent="0.2">
      <c r="B52" s="1385"/>
      <c r="C52" s="1388"/>
      <c r="D52" s="1388"/>
      <c r="E52" s="1388"/>
      <c r="F52" s="1388"/>
      <c r="G52" s="1388"/>
      <c r="H52" s="1388"/>
      <c r="I52" s="1388"/>
      <c r="J52" s="1388"/>
      <c r="K52" s="1388"/>
      <c r="L52" s="1387"/>
    </row>
    <row r="53" spans="2:15" ht="11.45" customHeight="1" x14ac:dyDescent="0.2">
      <c r="B53" s="1692"/>
      <c r="C53" s="1986"/>
      <c r="D53" s="1986"/>
      <c r="E53" s="1986"/>
      <c r="F53" s="1986"/>
      <c r="G53" s="1986"/>
      <c r="H53" s="1986"/>
      <c r="I53" s="1986"/>
      <c r="J53" s="1986"/>
      <c r="K53" s="1986"/>
      <c r="L53" s="1693"/>
    </row>
    <row r="54" spans="2:15" ht="8.1" customHeight="1" x14ac:dyDescent="0.2">
      <c r="B54" s="2066"/>
      <c r="C54" s="1603"/>
      <c r="D54" s="1603"/>
      <c r="E54" s="1603"/>
      <c r="F54" s="1603"/>
      <c r="G54" s="1603"/>
      <c r="H54" s="1603"/>
      <c r="I54" s="1603"/>
      <c r="J54" s="1603"/>
      <c r="K54" s="1603"/>
      <c r="L54" s="1328"/>
    </row>
    <row r="55" spans="2:15" ht="11.45" customHeight="1" x14ac:dyDescent="0.2">
      <c r="B55" s="2004" t="s">
        <v>2277</v>
      </c>
      <c r="C55" s="2005"/>
      <c r="D55" s="2005"/>
      <c r="E55" s="2005"/>
      <c r="F55" s="2005"/>
      <c r="G55" s="2005"/>
      <c r="H55" s="2005"/>
      <c r="I55" s="2005"/>
      <c r="J55" s="2005"/>
      <c r="K55" s="2005"/>
      <c r="L55" s="2097"/>
    </row>
    <row r="56" spans="2:15" ht="11.45" customHeight="1" x14ac:dyDescent="0.2">
      <c r="B56" s="2098"/>
      <c r="C56" s="2055"/>
      <c r="D56" s="2055"/>
      <c r="E56" s="2055"/>
      <c r="F56" s="2055"/>
      <c r="G56" s="2055"/>
      <c r="H56" s="2055"/>
      <c r="I56" s="2055"/>
      <c r="J56" s="2055"/>
      <c r="K56" s="2055"/>
      <c r="L56" s="2099"/>
    </row>
    <row r="59" spans="2:15" ht="11.45" customHeight="1" x14ac:dyDescent="0.2">
      <c r="B59" s="1414" t="s">
        <v>747</v>
      </c>
      <c r="C59" s="1314"/>
      <c r="D59" s="1314"/>
      <c r="E59" s="1314"/>
      <c r="F59" s="1314"/>
      <c r="G59" s="1314"/>
      <c r="H59" s="1314"/>
      <c r="I59" s="1314"/>
      <c r="J59" s="1314"/>
      <c r="K59" s="1314"/>
      <c r="L59" s="1315"/>
    </row>
    <row r="60" spans="2:15" ht="11.45" customHeight="1" x14ac:dyDescent="0.2">
      <c r="B60" s="25"/>
      <c r="C60" s="39"/>
      <c r="D60" s="39"/>
      <c r="E60" s="39"/>
      <c r="F60" s="39"/>
      <c r="G60" s="39"/>
      <c r="H60" s="39"/>
      <c r="I60" s="39"/>
      <c r="J60" s="39"/>
      <c r="K60" s="39"/>
      <c r="L60" s="26"/>
      <c r="N60" s="2"/>
      <c r="O60" s="2"/>
    </row>
    <row r="61" spans="2:15" ht="11.45" customHeight="1" x14ac:dyDescent="0.2">
      <c r="B61" s="38" t="s">
        <v>3362</v>
      </c>
      <c r="C61" s="39"/>
      <c r="D61" s="39"/>
      <c r="E61" s="60" t="s">
        <v>1421</v>
      </c>
      <c r="F61" s="39"/>
      <c r="G61" s="39"/>
      <c r="H61" s="39"/>
      <c r="I61" s="39"/>
      <c r="J61" s="39"/>
      <c r="K61" s="39"/>
      <c r="L61" s="26"/>
      <c r="O61" s="361"/>
    </row>
    <row r="62" spans="2:15" ht="11.45" customHeight="1" x14ac:dyDescent="0.2">
      <c r="B62" s="38" t="s">
        <v>3363</v>
      </c>
      <c r="C62" s="39"/>
      <c r="D62" s="39"/>
      <c r="E62" s="60" t="s">
        <v>1424</v>
      </c>
      <c r="G62" s="39"/>
      <c r="H62" s="413" t="s">
        <v>986</v>
      </c>
      <c r="I62" s="414">
        <f>IF(H47&gt;I47,0,((I47^2-H47^2)^0.5))</f>
        <v>0</v>
      </c>
      <c r="J62" s="413" t="s">
        <v>987</v>
      </c>
      <c r="K62" s="414">
        <f>IF(H48&gt;I48,0,((I48^2-H48^2)^0.5))</f>
        <v>0</v>
      </c>
      <c r="L62" s="26"/>
    </row>
    <row r="63" spans="2:15" ht="11.45" customHeight="1" x14ac:dyDescent="0.2">
      <c r="B63" s="38"/>
      <c r="C63" s="39"/>
      <c r="D63" s="39"/>
      <c r="E63" s="39"/>
      <c r="G63" s="39"/>
      <c r="H63" s="412"/>
      <c r="J63" s="39"/>
      <c r="K63" s="39"/>
      <c r="L63" s="26"/>
    </row>
    <row r="64" spans="2:15" ht="11.45" customHeight="1" x14ac:dyDescent="0.2">
      <c r="B64" s="38" t="s">
        <v>3364</v>
      </c>
      <c r="C64" s="39"/>
      <c r="D64" s="39"/>
      <c r="E64" s="60" t="s">
        <v>985</v>
      </c>
      <c r="G64" s="39"/>
      <c r="H64" s="412"/>
      <c r="I64" s="411"/>
      <c r="J64" s="412"/>
      <c r="K64" s="411"/>
      <c r="L64" s="26"/>
    </row>
    <row r="65" spans="2:12" ht="11.45" customHeight="1" x14ac:dyDescent="0.2">
      <c r="B65" s="38" t="s">
        <v>984</v>
      </c>
      <c r="C65" s="39"/>
      <c r="D65" s="39"/>
      <c r="E65" s="60" t="s">
        <v>1422</v>
      </c>
      <c r="F65" s="39"/>
      <c r="G65" s="39"/>
      <c r="H65" s="413" t="s">
        <v>986</v>
      </c>
      <c r="I65" s="415">
        <f>I47</f>
        <v>0</v>
      </c>
      <c r="J65" s="413" t="s">
        <v>987</v>
      </c>
      <c r="K65" s="415">
        <f>I48</f>
        <v>0</v>
      </c>
      <c r="L65" s="26"/>
    </row>
    <row r="66" spans="2:12" ht="11.45" customHeight="1" x14ac:dyDescent="0.2">
      <c r="B66" s="38"/>
      <c r="C66" s="39"/>
      <c r="D66" s="39"/>
      <c r="E66" s="60"/>
      <c r="F66" s="39"/>
      <c r="G66" s="39"/>
      <c r="H66" s="39"/>
      <c r="I66" s="60"/>
      <c r="J66" s="39"/>
      <c r="K66" s="39"/>
      <c r="L66" s="26"/>
    </row>
    <row r="67" spans="2:12" ht="11.45" customHeight="1" x14ac:dyDescent="0.2">
      <c r="B67" s="38" t="s">
        <v>3365</v>
      </c>
      <c r="C67" s="39"/>
      <c r="D67" s="39"/>
      <c r="E67" s="60" t="s">
        <v>1423</v>
      </c>
      <c r="F67" s="39"/>
      <c r="G67" s="39"/>
      <c r="H67" s="39"/>
      <c r="I67" s="60"/>
      <c r="J67" s="39"/>
      <c r="K67" s="39"/>
      <c r="L67" s="26"/>
    </row>
    <row r="68" spans="2:12" ht="11.45" customHeight="1" x14ac:dyDescent="0.2">
      <c r="B68" s="38" t="s">
        <v>3363</v>
      </c>
      <c r="C68" s="39"/>
      <c r="D68" s="39"/>
      <c r="E68" s="60" t="s">
        <v>1425</v>
      </c>
      <c r="G68" s="39"/>
      <c r="H68" s="413" t="s">
        <v>986</v>
      </c>
      <c r="I68" s="414">
        <f>(I47^2+H47^2)^0.5</f>
        <v>0</v>
      </c>
      <c r="J68" s="413" t="s">
        <v>987</v>
      </c>
      <c r="K68" s="414">
        <f>(I48^2+H48^2)^0.5</f>
        <v>0</v>
      </c>
      <c r="L68" s="26"/>
    </row>
    <row r="69" spans="2:12" ht="11.45" customHeight="1" x14ac:dyDescent="0.2">
      <c r="B69" s="40"/>
      <c r="C69" s="29"/>
      <c r="D69" s="29"/>
      <c r="E69" s="58"/>
      <c r="F69" s="29"/>
      <c r="G69" s="29"/>
      <c r="H69" s="29"/>
      <c r="I69" s="29"/>
      <c r="J69" s="29"/>
      <c r="K69" s="29"/>
      <c r="L69" s="28"/>
    </row>
  </sheetData>
  <mergeCells count="44">
    <mergeCell ref="D37:G37"/>
    <mergeCell ref="I37:L37"/>
    <mergeCell ref="B37:C39"/>
    <mergeCell ref="B54:L54"/>
    <mergeCell ref="B55:L56"/>
    <mergeCell ref="H48:H49"/>
    <mergeCell ref="C48:C49"/>
    <mergeCell ref="D48:D49"/>
    <mergeCell ref="E48:E49"/>
    <mergeCell ref="F48:F49"/>
    <mergeCell ref="G48:G49"/>
    <mergeCell ref="I48:I49"/>
    <mergeCell ref="J48:J49"/>
    <mergeCell ref="B2:L2"/>
    <mergeCell ref="B4:L4"/>
    <mergeCell ref="B25:L25"/>
    <mergeCell ref="B34:C34"/>
    <mergeCell ref="I34:J34"/>
    <mergeCell ref="F27:L27"/>
    <mergeCell ref="B27:E27"/>
    <mergeCell ref="B26:L26"/>
    <mergeCell ref="J23:L24"/>
    <mergeCell ref="J10:L15"/>
    <mergeCell ref="D14:D15"/>
    <mergeCell ref="E23:E24"/>
    <mergeCell ref="F23:F24"/>
    <mergeCell ref="G23:G24"/>
    <mergeCell ref="H23:H24"/>
    <mergeCell ref="B59:L59"/>
    <mergeCell ref="I5:L5"/>
    <mergeCell ref="I6:L6"/>
    <mergeCell ref="B7:L7"/>
    <mergeCell ref="I9:K9"/>
    <mergeCell ref="B8:L8"/>
    <mergeCell ref="B16:L17"/>
    <mergeCell ref="F20:H20"/>
    <mergeCell ref="J20:L22"/>
    <mergeCell ref="B18:L18"/>
    <mergeCell ref="B40:L40"/>
    <mergeCell ref="B41:L42"/>
    <mergeCell ref="B50:L53"/>
    <mergeCell ref="K48:K49"/>
    <mergeCell ref="B35:L35"/>
    <mergeCell ref="B36:L36"/>
  </mergeCells>
  <phoneticPr fontId="2" type="noConversion"/>
  <pageMargins left="0.75" right="0.75" top="1" bottom="1" header="0.5" footer="0.5"/>
  <pageSetup orientation="portrait" r:id="rId1"/>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1"/>
  <dimension ref="B2:T56"/>
  <sheetViews>
    <sheetView workbookViewId="0">
      <selection activeCell="L24" sqref="L24"/>
    </sheetView>
  </sheetViews>
  <sheetFormatPr defaultColWidth="8.7109375" defaultRowHeight="12" customHeight="1" x14ac:dyDescent="0.2"/>
  <cols>
    <col min="1" max="1" width="3.5703125" style="174" customWidth="1"/>
    <col min="2" max="16384" width="8.7109375" style="174"/>
  </cols>
  <sheetData>
    <row r="2" spans="2:20" ht="12" customHeight="1" x14ac:dyDescent="0.2">
      <c r="B2" s="2106" t="s">
        <v>464</v>
      </c>
      <c r="C2" s="2107"/>
      <c r="D2" s="2107"/>
      <c r="E2" s="2107"/>
      <c r="F2" s="2107"/>
      <c r="G2" s="2107"/>
      <c r="H2" s="2107"/>
      <c r="I2" s="2107"/>
      <c r="J2" s="2107"/>
      <c r="K2" s="2107"/>
      <c r="L2" s="2107"/>
      <c r="M2" s="2108"/>
    </row>
    <row r="3" spans="2:20" ht="12" customHeight="1" x14ac:dyDescent="0.2">
      <c r="B3" s="2116" t="s">
        <v>922</v>
      </c>
      <c r="C3" s="1960"/>
      <c r="D3" s="1960"/>
      <c r="E3" s="1960"/>
      <c r="F3" s="1960"/>
      <c r="G3" s="1960"/>
      <c r="H3" s="1960"/>
      <c r="I3" s="1960"/>
      <c r="J3" s="1960"/>
      <c r="K3" s="1960"/>
      <c r="L3" s="1960"/>
      <c r="M3" s="2117"/>
    </row>
    <row r="4" spans="2:20" ht="12" customHeight="1" x14ac:dyDescent="0.2">
      <c r="B4" s="2118" t="s">
        <v>923</v>
      </c>
      <c r="C4" s="2119"/>
      <c r="D4" s="2119"/>
      <c r="E4" s="2119"/>
      <c r="F4" s="2119"/>
      <c r="G4" s="2119"/>
      <c r="H4" s="2119"/>
      <c r="I4" s="2119"/>
      <c r="J4" s="2119"/>
      <c r="K4" s="2119"/>
      <c r="L4" s="2119"/>
      <c r="M4" s="2120"/>
    </row>
    <row r="5" spans="2:20" ht="12" customHeight="1" x14ac:dyDescent="0.2">
      <c r="B5" s="179"/>
      <c r="C5" s="180"/>
      <c r="D5" s="180"/>
      <c r="E5" s="454" t="s">
        <v>476</v>
      </c>
      <c r="F5" s="685" t="str">
        <f>'Wrk A'!$H$5</f>
        <v>Block</v>
      </c>
      <c r="G5" s="919" t="s">
        <v>3985</v>
      </c>
      <c r="H5" s="920" t="str">
        <f>'Wrk A'!C15</f>
        <v>Jul &amp; Aug</v>
      </c>
      <c r="I5" s="919" t="s">
        <v>1079</v>
      </c>
      <c r="J5" s="921">
        <f>'Wrk A'!K16</f>
        <v>0.5</v>
      </c>
      <c r="L5" s="180"/>
      <c r="M5" s="181"/>
    </row>
    <row r="6" spans="2:20" ht="12" customHeight="1" x14ac:dyDescent="0.2">
      <c r="B6" s="2113" t="s">
        <v>4105</v>
      </c>
      <c r="C6" s="2114"/>
      <c r="D6" s="2114"/>
      <c r="E6" s="2114"/>
      <c r="F6" s="2114"/>
      <c r="G6" s="2114"/>
      <c r="H6" s="2114"/>
      <c r="I6" s="2114"/>
      <c r="J6" s="2114"/>
      <c r="K6" s="2114"/>
      <c r="L6" s="2114"/>
      <c r="M6" s="2115"/>
    </row>
    <row r="7" spans="2:20" ht="12" customHeight="1" x14ac:dyDescent="0.2">
      <c r="B7" s="182" t="s">
        <v>3985</v>
      </c>
      <c r="C7" s="182" t="s">
        <v>1079</v>
      </c>
      <c r="D7" s="183" t="s">
        <v>3943</v>
      </c>
      <c r="E7" s="183" t="s">
        <v>3482</v>
      </c>
      <c r="F7" s="183" t="s">
        <v>3945</v>
      </c>
      <c r="G7" s="183" t="s">
        <v>3502</v>
      </c>
      <c r="H7" s="225"/>
      <c r="I7" s="226"/>
      <c r="J7" s="226"/>
      <c r="K7" s="226"/>
      <c r="L7" s="227"/>
      <c r="M7" s="765" t="s">
        <v>2935</v>
      </c>
      <c r="N7" s="184"/>
      <c r="O7" s="228"/>
      <c r="P7" s="185"/>
      <c r="Q7" s="185"/>
      <c r="R7" s="185"/>
    </row>
    <row r="8" spans="2:20" ht="12" customHeight="1" x14ac:dyDescent="0.2">
      <c r="B8" s="186"/>
      <c r="C8" s="186"/>
      <c r="D8" s="187" t="s">
        <v>3949</v>
      </c>
      <c r="E8" s="187" t="s">
        <v>3950</v>
      </c>
      <c r="F8" s="187" t="s">
        <v>3484</v>
      </c>
      <c r="G8" s="187" t="s">
        <v>948</v>
      </c>
      <c r="H8" s="229"/>
      <c r="I8" s="230"/>
      <c r="J8" s="230"/>
      <c r="K8" s="230"/>
      <c r="L8" s="231"/>
      <c r="M8" s="767" t="s">
        <v>3984</v>
      </c>
      <c r="N8" s="185"/>
      <c r="O8" s="768" t="s">
        <v>1712</v>
      </c>
      <c r="P8" s="185"/>
      <c r="Q8" s="185"/>
      <c r="R8" s="185"/>
    </row>
    <row r="9" spans="2:20" ht="12" customHeight="1" x14ac:dyDescent="0.2">
      <c r="B9" s="251" t="e">
        <f>#REF!</f>
        <v>#REF!</v>
      </c>
      <c r="C9" s="194" t="e">
        <f>#REF!</f>
        <v>#REF!</v>
      </c>
      <c r="D9" s="556" t="e">
        <f>#REF!</f>
        <v>#REF!</v>
      </c>
      <c r="E9" s="541" t="e">
        <f>#REF!</f>
        <v>#REF!</v>
      </c>
      <c r="F9" s="260"/>
      <c r="G9" s="188">
        <f>F9</f>
        <v>0</v>
      </c>
      <c r="H9" s="232"/>
      <c r="I9" s="233"/>
      <c r="J9" s="233"/>
      <c r="K9" s="233"/>
      <c r="L9" s="234"/>
      <c r="M9" s="545">
        <v>80</v>
      </c>
      <c r="O9" s="766" t="e">
        <f>100*F36</f>
        <v>#REF!</v>
      </c>
      <c r="P9" s="203" t="s">
        <v>2343</v>
      </c>
      <c r="Q9" s="185"/>
      <c r="R9" s="185"/>
    </row>
    <row r="10" spans="2:20" ht="12" customHeight="1" x14ac:dyDescent="0.2">
      <c r="B10" s="179" t="s">
        <v>924</v>
      </c>
      <c r="C10" s="180"/>
      <c r="D10" s="180"/>
      <c r="E10" s="180"/>
      <c r="F10" s="180"/>
      <c r="G10" s="180"/>
      <c r="H10" s="180"/>
      <c r="I10" s="180"/>
      <c r="J10" s="180"/>
      <c r="K10" s="180"/>
      <c r="L10" s="180"/>
      <c r="M10" s="235"/>
      <c r="O10" s="185" t="s">
        <v>2509</v>
      </c>
    </row>
    <row r="11" spans="2:20" ht="12" customHeight="1" x14ac:dyDescent="0.2">
      <c r="B11" s="179" t="s">
        <v>2510</v>
      </c>
      <c r="C11" s="180"/>
      <c r="D11" s="180"/>
      <c r="E11" s="180"/>
      <c r="F11" s="180"/>
      <c r="G11" s="180"/>
      <c r="H11" s="180"/>
      <c r="I11" s="180"/>
      <c r="J11" s="180"/>
      <c r="K11" s="180"/>
      <c r="L11" s="180"/>
      <c r="M11" s="181"/>
      <c r="P11" s="185"/>
      <c r="Q11" s="185"/>
    </row>
    <row r="12" spans="2:20" ht="12" customHeight="1" x14ac:dyDescent="0.2">
      <c r="B12" s="179"/>
      <c r="C12" s="180"/>
      <c r="D12" s="180"/>
      <c r="E12" s="180"/>
      <c r="F12" s="180"/>
      <c r="G12" s="180"/>
      <c r="H12" s="180"/>
      <c r="I12" s="180"/>
      <c r="J12" s="180"/>
      <c r="K12" s="180"/>
      <c r="L12" s="180"/>
      <c r="M12" s="181"/>
      <c r="O12" s="670"/>
      <c r="P12" s="795" t="s">
        <v>3867</v>
      </c>
      <c r="Q12" s="793" t="s">
        <v>2439</v>
      </c>
      <c r="R12" s="176"/>
      <c r="T12" s="176"/>
    </row>
    <row r="13" spans="2:20" ht="12" customHeight="1" x14ac:dyDescent="0.2">
      <c r="B13" s="2113" t="s">
        <v>925</v>
      </c>
      <c r="C13" s="2114"/>
      <c r="D13" s="2114"/>
      <c r="E13" s="2114"/>
      <c r="F13" s="2114"/>
      <c r="G13" s="2114"/>
      <c r="H13" s="2114"/>
      <c r="I13" s="2114"/>
      <c r="J13" s="2114"/>
      <c r="K13" s="2114"/>
      <c r="L13" s="2114"/>
      <c r="M13" s="2115"/>
      <c r="R13" s="176"/>
      <c r="S13" s="185"/>
      <c r="T13" s="176"/>
    </row>
    <row r="14" spans="2:20" ht="12" customHeight="1" x14ac:dyDescent="0.2">
      <c r="B14" s="189" t="s">
        <v>926</v>
      </c>
      <c r="C14" s="190"/>
      <c r="D14" s="182" t="s">
        <v>943</v>
      </c>
      <c r="E14" s="182" t="s">
        <v>943</v>
      </c>
      <c r="F14" s="757" t="s">
        <v>943</v>
      </c>
      <c r="G14" s="236"/>
      <c r="H14" s="237"/>
      <c r="I14" s="237"/>
      <c r="J14" s="237"/>
      <c r="K14" s="237"/>
      <c r="L14" s="237"/>
      <c r="M14" s="238"/>
      <c r="O14" s="881">
        <f>O12-O16</f>
        <v>-75</v>
      </c>
      <c r="P14" s="795" t="s">
        <v>3869</v>
      </c>
      <c r="Q14" s="795"/>
      <c r="R14" s="176"/>
      <c r="S14" s="176"/>
      <c r="T14" s="176"/>
    </row>
    <row r="15" spans="2:20" ht="12" customHeight="1" x14ac:dyDescent="0.2">
      <c r="B15" s="471" t="s">
        <v>3496</v>
      </c>
      <c r="C15" s="213"/>
      <c r="D15" s="201" t="s">
        <v>3497</v>
      </c>
      <c r="E15" s="201" t="s">
        <v>927</v>
      </c>
      <c r="F15" s="758" t="s">
        <v>2570</v>
      </c>
      <c r="G15" s="239"/>
      <c r="H15" s="240"/>
      <c r="I15" s="240"/>
      <c r="J15" s="240"/>
      <c r="K15" s="240"/>
      <c r="L15" s="240"/>
      <c r="M15" s="241"/>
      <c r="O15" s="185"/>
      <c r="P15" s="185"/>
      <c r="Q15" s="793"/>
      <c r="R15" s="176"/>
      <c r="S15" s="176"/>
      <c r="T15" s="176"/>
    </row>
    <row r="16" spans="2:20" ht="12" customHeight="1" x14ac:dyDescent="0.2">
      <c r="B16" s="192"/>
      <c r="C16" s="178"/>
      <c r="D16" s="186"/>
      <c r="E16" s="186" t="s">
        <v>4149</v>
      </c>
      <c r="F16" s="759" t="s">
        <v>756</v>
      </c>
      <c r="G16" s="239"/>
      <c r="H16" s="240"/>
      <c r="I16" s="240"/>
      <c r="J16" s="240"/>
      <c r="K16" s="240"/>
      <c r="L16" s="240"/>
      <c r="M16" s="241"/>
      <c r="O16" s="791">
        <f>'Wrk A'!J26</f>
        <v>75</v>
      </c>
      <c r="P16" s="185" t="s">
        <v>3866</v>
      </c>
      <c r="R16" s="176"/>
      <c r="S16" s="176"/>
      <c r="T16" s="176"/>
    </row>
    <row r="17" spans="2:20" ht="12" customHeight="1" x14ac:dyDescent="0.2">
      <c r="B17" s="794"/>
      <c r="C17" s="544"/>
      <c r="D17" s="545"/>
      <c r="E17" s="196" t="e">
        <f>-D17*(M9-D9)</f>
        <v>#REF!</v>
      </c>
      <c r="F17" s="760">
        <f>O14</f>
        <v>-75</v>
      </c>
      <c r="G17" s="596"/>
      <c r="H17" s="244"/>
      <c r="I17" s="244"/>
      <c r="J17" s="244"/>
      <c r="K17" s="245"/>
      <c r="L17" s="246"/>
      <c r="M17" s="247"/>
      <c r="R17" s="176"/>
      <c r="S17" s="176"/>
      <c r="T17" s="176"/>
    </row>
    <row r="18" spans="2:20" ht="12" customHeight="1" x14ac:dyDescent="0.2">
      <c r="B18" s="216" t="s">
        <v>2584</v>
      </c>
      <c r="C18" s="180"/>
      <c r="D18" s="180"/>
      <c r="E18" s="180"/>
      <c r="F18" s="180"/>
      <c r="G18" s="180"/>
      <c r="H18" s="180"/>
      <c r="I18" s="180"/>
      <c r="J18" s="180"/>
      <c r="K18" s="180"/>
      <c r="L18" s="180"/>
      <c r="M18" s="197"/>
      <c r="R18" s="176"/>
      <c r="T18" s="176"/>
    </row>
    <row r="19" spans="2:20" ht="12" customHeight="1" x14ac:dyDescent="0.2">
      <c r="B19" s="179"/>
      <c r="C19" s="180"/>
      <c r="D19" s="180"/>
      <c r="E19" s="180"/>
      <c r="F19" s="180"/>
      <c r="G19" s="180"/>
      <c r="H19" s="180"/>
      <c r="I19" s="180"/>
      <c r="J19" s="180"/>
      <c r="K19" s="180"/>
      <c r="L19" s="180"/>
      <c r="M19" s="181"/>
      <c r="R19" s="176"/>
      <c r="S19" s="176"/>
      <c r="T19" s="176"/>
    </row>
    <row r="20" spans="2:20" ht="12" customHeight="1" x14ac:dyDescent="0.2">
      <c r="B20" s="2113" t="s">
        <v>418</v>
      </c>
      <c r="C20" s="2114"/>
      <c r="D20" s="2114"/>
      <c r="E20" s="2114"/>
      <c r="F20" s="2113" t="s">
        <v>419</v>
      </c>
      <c r="G20" s="2114"/>
      <c r="H20" s="2114"/>
      <c r="I20" s="1350"/>
      <c r="J20" s="2113" t="s">
        <v>939</v>
      </c>
      <c r="K20" s="1314"/>
      <c r="L20" s="1314"/>
      <c r="M20" s="1315"/>
      <c r="R20" s="176"/>
    </row>
    <row r="21" spans="2:20" ht="12" customHeight="1" x14ac:dyDescent="0.2">
      <c r="B21" s="199" t="s">
        <v>940</v>
      </c>
      <c r="C21" s="199" t="s">
        <v>941</v>
      </c>
      <c r="D21" s="200" t="s">
        <v>3947</v>
      </c>
      <c r="E21" s="200" t="s">
        <v>942</v>
      </c>
      <c r="F21" s="200" t="s">
        <v>3502</v>
      </c>
      <c r="G21" s="200" t="s">
        <v>3502</v>
      </c>
      <c r="H21" s="200" t="s">
        <v>3502</v>
      </c>
      <c r="I21" s="200" t="s">
        <v>3502</v>
      </c>
      <c r="J21" s="200" t="s">
        <v>1180</v>
      </c>
      <c r="K21" s="200" t="s">
        <v>943</v>
      </c>
      <c r="L21" s="200" t="s">
        <v>3789</v>
      </c>
      <c r="M21" s="199" t="s">
        <v>415</v>
      </c>
      <c r="Q21" s="185"/>
      <c r="R21" s="176"/>
      <c r="S21" s="176"/>
      <c r="T21" s="176"/>
    </row>
    <row r="22" spans="2:20" ht="12" customHeight="1" x14ac:dyDescent="0.2">
      <c r="B22" s="201" t="s">
        <v>1179</v>
      </c>
      <c r="C22" s="202" t="s">
        <v>3357</v>
      </c>
      <c r="D22" s="202" t="s">
        <v>3502</v>
      </c>
      <c r="E22" s="202" t="s">
        <v>3501</v>
      </c>
      <c r="F22" s="202" t="s">
        <v>945</v>
      </c>
      <c r="G22" s="202" t="s">
        <v>1095</v>
      </c>
      <c r="H22" s="202" t="s">
        <v>946</v>
      </c>
      <c r="I22" s="202" t="s">
        <v>2570</v>
      </c>
      <c r="J22" s="202" t="s">
        <v>947</v>
      </c>
      <c r="K22" s="202" t="s">
        <v>948</v>
      </c>
      <c r="L22" s="202" t="s">
        <v>949</v>
      </c>
      <c r="M22" s="201" t="s">
        <v>946</v>
      </c>
      <c r="T22" s="176"/>
    </row>
    <row r="23" spans="2:20" ht="12" customHeight="1" x14ac:dyDescent="0.2">
      <c r="B23" s="186" t="s">
        <v>950</v>
      </c>
      <c r="C23" s="186" t="s">
        <v>1179</v>
      </c>
      <c r="D23" s="187" t="s">
        <v>948</v>
      </c>
      <c r="E23" s="187" t="s">
        <v>4149</v>
      </c>
      <c r="F23" s="187"/>
      <c r="G23" s="187" t="s">
        <v>2513</v>
      </c>
      <c r="H23" s="187" t="s">
        <v>4149</v>
      </c>
      <c r="I23" s="187" t="s">
        <v>756</v>
      </c>
      <c r="J23" s="187" t="s">
        <v>1179</v>
      </c>
      <c r="K23" s="187" t="s">
        <v>2967</v>
      </c>
      <c r="L23" s="187" t="s">
        <v>3984</v>
      </c>
      <c r="M23" s="186" t="s">
        <v>4149</v>
      </c>
      <c r="Q23" s="185"/>
      <c r="R23" s="204"/>
      <c r="T23" s="176"/>
    </row>
    <row r="24" spans="2:20" ht="12" customHeight="1" x14ac:dyDescent="0.2">
      <c r="B24" s="188">
        <f>'Wrk E'!O13</f>
        <v>0</v>
      </c>
      <c r="C24" s="260"/>
      <c r="D24" s="188">
        <f>G9</f>
        <v>0</v>
      </c>
      <c r="E24" s="205" t="e">
        <f>(B24+C24)/D24</f>
        <v>#DIV/0!</v>
      </c>
      <c r="F24" s="546"/>
      <c r="G24" s="546"/>
      <c r="H24" s="205" t="e">
        <f>-G24*(M9-D9)</f>
        <v>#REF!</v>
      </c>
      <c r="I24" s="501">
        <f>O14</f>
        <v>-75</v>
      </c>
      <c r="J24" s="188">
        <f>SUM('Form N1'!O10:O50)</f>
        <v>0</v>
      </c>
      <c r="K24" s="188">
        <f>F9</f>
        <v>0</v>
      </c>
      <c r="L24" s="872" t="e">
        <f>IF(L27=0,J24/(1.1*E9*20*K24),L27)</f>
        <v>#REF!</v>
      </c>
      <c r="M24" s="206" t="e">
        <f>-1.1*E9*L24*(M9-D9)</f>
        <v>#REF!</v>
      </c>
      <c r="Q24" s="185"/>
      <c r="R24" s="204"/>
      <c r="T24" s="176"/>
    </row>
    <row r="25" spans="2:20" ht="12" customHeight="1" x14ac:dyDescent="0.2">
      <c r="B25" s="179" t="s">
        <v>3354</v>
      </c>
      <c r="C25" s="180"/>
      <c r="D25" s="180"/>
      <c r="E25" s="180"/>
      <c r="F25" s="180"/>
      <c r="G25" s="180"/>
      <c r="H25" s="180"/>
      <c r="I25" s="180"/>
      <c r="J25" s="180"/>
      <c r="K25" s="180"/>
      <c r="L25" s="199" t="s">
        <v>3414</v>
      </c>
      <c r="M25" s="181"/>
      <c r="O25" s="203"/>
      <c r="P25" s="185"/>
      <c r="Q25" s="185"/>
      <c r="R25" s="204"/>
      <c r="T25" s="176"/>
    </row>
    <row r="26" spans="2:20" ht="12" customHeight="1" x14ac:dyDescent="0.2">
      <c r="B26" s="179" t="s">
        <v>3355</v>
      </c>
      <c r="C26" s="208"/>
      <c r="D26" s="208"/>
      <c r="E26" s="208"/>
      <c r="F26" s="208"/>
      <c r="G26" s="208"/>
      <c r="H26" s="208"/>
      <c r="I26" s="180"/>
      <c r="J26" s="180"/>
      <c r="K26" s="180"/>
      <c r="L26" s="186" t="s">
        <v>3413</v>
      </c>
      <c r="M26" s="181"/>
      <c r="O26" s="176"/>
      <c r="P26" s="207"/>
      <c r="Q26" s="176"/>
      <c r="R26" s="204"/>
      <c r="T26" s="176"/>
    </row>
    <row r="27" spans="2:20" ht="12" customHeight="1" x14ac:dyDescent="0.2">
      <c r="B27" s="179" t="s">
        <v>1684</v>
      </c>
      <c r="C27" s="208"/>
      <c r="D27" s="208"/>
      <c r="E27" s="208"/>
      <c r="F27" s="208"/>
      <c r="G27" s="208"/>
      <c r="H27" s="208"/>
      <c r="I27" s="208"/>
      <c r="J27" s="208"/>
      <c r="K27" s="208"/>
      <c r="L27" s="467"/>
      <c r="M27" s="181"/>
      <c r="P27" s="175"/>
      <c r="R27" s="204"/>
      <c r="T27" s="176"/>
    </row>
    <row r="28" spans="2:20" ht="12" customHeight="1" x14ac:dyDescent="0.2">
      <c r="B28" s="179" t="s">
        <v>4144</v>
      </c>
      <c r="C28" s="208"/>
      <c r="D28" s="208"/>
      <c r="E28" s="208"/>
      <c r="F28" s="208"/>
      <c r="G28" s="208"/>
      <c r="H28" s="208"/>
      <c r="I28" s="208"/>
      <c r="J28" s="208"/>
      <c r="K28" s="208"/>
      <c r="L28" s="185"/>
      <c r="M28" s="181"/>
      <c r="O28" s="209"/>
      <c r="P28" s="175"/>
      <c r="R28" s="204"/>
      <c r="T28" s="176"/>
    </row>
    <row r="29" spans="2:20" ht="12" customHeight="1" x14ac:dyDescent="0.2">
      <c r="B29" s="179" t="s">
        <v>3359</v>
      </c>
      <c r="C29" s="180"/>
      <c r="D29" s="180"/>
      <c r="E29" s="180"/>
      <c r="F29" s="180"/>
      <c r="G29" s="180"/>
      <c r="H29" s="180"/>
      <c r="I29" s="180"/>
      <c r="J29" s="180"/>
      <c r="K29" s="180"/>
      <c r="L29" s="180"/>
      <c r="M29" s="181"/>
      <c r="P29" s="175"/>
      <c r="R29" s="204"/>
      <c r="T29" s="176"/>
    </row>
    <row r="30" spans="2:20" ht="12" customHeight="1" x14ac:dyDescent="0.2">
      <c r="B30" s="179" t="s">
        <v>3360</v>
      </c>
      <c r="C30" s="180"/>
      <c r="D30" s="180"/>
      <c r="E30" s="180"/>
      <c r="F30" s="180"/>
      <c r="G30" s="180"/>
      <c r="H30" s="180"/>
      <c r="I30" s="180"/>
      <c r="J30" s="180"/>
      <c r="K30" s="180"/>
      <c r="L30" s="180"/>
      <c r="M30" s="181"/>
      <c r="P30" s="175"/>
      <c r="Q30" s="210"/>
      <c r="R30" s="204"/>
      <c r="T30" s="204"/>
    </row>
    <row r="31" spans="2:20" ht="12" customHeight="1" x14ac:dyDescent="0.2">
      <c r="B31" s="179"/>
      <c r="C31" s="180"/>
      <c r="D31" s="180"/>
      <c r="E31" s="180"/>
      <c r="F31" s="180"/>
      <c r="G31" s="180"/>
      <c r="H31" s="180"/>
      <c r="I31" s="180"/>
      <c r="J31" s="180"/>
      <c r="K31" s="180"/>
      <c r="L31" s="180"/>
      <c r="M31" s="181"/>
      <c r="P31" s="175"/>
      <c r="R31" s="204"/>
      <c r="T31" s="176"/>
    </row>
    <row r="32" spans="2:20" ht="12" customHeight="1" x14ac:dyDescent="0.2">
      <c r="B32" s="2113" t="s">
        <v>4148</v>
      </c>
      <c r="C32" s="2114"/>
      <c r="D32" s="2114"/>
      <c r="E32" s="2114"/>
      <c r="F32" s="2115"/>
      <c r="G32" s="2110" t="s">
        <v>2409</v>
      </c>
      <c r="H32" s="2111"/>
      <c r="I32" s="2111"/>
      <c r="J32" s="2111"/>
      <c r="K32" s="2111"/>
      <c r="L32" s="2111"/>
      <c r="M32" s="2112"/>
      <c r="P32" s="175"/>
      <c r="R32" s="204"/>
      <c r="T32" s="176"/>
    </row>
    <row r="33" spans="2:20" ht="12" customHeight="1" x14ac:dyDescent="0.2">
      <c r="B33" s="199" t="s">
        <v>943</v>
      </c>
      <c r="C33" s="199" t="s">
        <v>942</v>
      </c>
      <c r="D33" s="199" t="s">
        <v>3502</v>
      </c>
      <c r="E33" s="199" t="s">
        <v>415</v>
      </c>
      <c r="F33" s="199" t="s">
        <v>1426</v>
      </c>
      <c r="G33" s="211" t="s">
        <v>3502</v>
      </c>
      <c r="H33" s="211" t="s">
        <v>3502</v>
      </c>
      <c r="I33" s="211" t="s">
        <v>3502</v>
      </c>
      <c r="J33" s="211" t="s">
        <v>943</v>
      </c>
      <c r="K33" s="211" t="s">
        <v>943</v>
      </c>
      <c r="L33" s="211" t="s">
        <v>943</v>
      </c>
      <c r="M33" s="211" t="s">
        <v>3983</v>
      </c>
      <c r="P33" s="175"/>
      <c r="R33" s="176"/>
      <c r="T33" s="176"/>
    </row>
    <row r="34" spans="2:20" ht="12" customHeight="1" x14ac:dyDescent="0.2">
      <c r="B34" s="201" t="s">
        <v>946</v>
      </c>
      <c r="C34" s="201" t="s">
        <v>1428</v>
      </c>
      <c r="D34" s="201" t="s">
        <v>946</v>
      </c>
      <c r="E34" s="201" t="s">
        <v>946</v>
      </c>
      <c r="F34" s="201" t="s">
        <v>1429</v>
      </c>
      <c r="G34" s="212" t="s">
        <v>948</v>
      </c>
      <c r="H34" s="212" t="s">
        <v>1430</v>
      </c>
      <c r="I34" s="212" t="s">
        <v>1431</v>
      </c>
      <c r="J34" s="212" t="s">
        <v>948</v>
      </c>
      <c r="K34" s="212" t="s">
        <v>1430</v>
      </c>
      <c r="L34" s="212" t="s">
        <v>1431</v>
      </c>
      <c r="M34" s="212" t="s">
        <v>944</v>
      </c>
    </row>
    <row r="35" spans="2:20" ht="12" customHeight="1" x14ac:dyDescent="0.2">
      <c r="B35" s="214"/>
      <c r="C35" s="214"/>
      <c r="D35" s="214"/>
      <c r="E35" s="214"/>
      <c r="F35" s="186"/>
      <c r="G35" s="215" t="s">
        <v>2967</v>
      </c>
      <c r="H35" s="215" t="s">
        <v>3984</v>
      </c>
      <c r="I35" s="215" t="s">
        <v>3984</v>
      </c>
      <c r="J35" s="215" t="s">
        <v>2967</v>
      </c>
      <c r="K35" s="215" t="s">
        <v>3984</v>
      </c>
      <c r="L35" s="215" t="s">
        <v>3984</v>
      </c>
      <c r="M35" s="215"/>
    </row>
    <row r="36" spans="2:20" ht="12" customHeight="1" x14ac:dyDescent="0.2">
      <c r="B36" s="196" t="e">
        <f>E17</f>
        <v>#REF!</v>
      </c>
      <c r="C36" s="196" t="e">
        <f>E24</f>
        <v>#DIV/0!</v>
      </c>
      <c r="D36" s="196" t="e">
        <f>H24</f>
        <v>#REF!</v>
      </c>
      <c r="E36" s="196" t="e">
        <f>M24</f>
        <v>#REF!</v>
      </c>
      <c r="F36" s="206" t="e">
        <f>SUM(B36:E36)</f>
        <v>#REF!</v>
      </c>
      <c r="G36" s="878">
        <f>G9</f>
        <v>0</v>
      </c>
      <c r="H36" s="880" t="e">
        <f>-D36</f>
        <v>#REF!</v>
      </c>
      <c r="I36" s="878" t="e">
        <f>H36*G9</f>
        <v>#REF!</v>
      </c>
      <c r="J36" s="878">
        <f>F9</f>
        <v>0</v>
      </c>
      <c r="K36" s="880" t="e">
        <f>-B36</f>
        <v>#REF!</v>
      </c>
      <c r="L36" s="879" t="e">
        <f>K36*F9</f>
        <v>#REF!</v>
      </c>
      <c r="M36" s="877" t="s">
        <v>1432</v>
      </c>
    </row>
    <row r="37" spans="2:20" ht="12" customHeight="1" x14ac:dyDescent="0.2">
      <c r="B37" s="216" t="s">
        <v>1433</v>
      </c>
      <c r="C37" s="217"/>
      <c r="D37" s="217"/>
      <c r="E37" s="217"/>
      <c r="F37" s="217"/>
      <c r="G37" s="217"/>
      <c r="H37" s="217"/>
      <c r="I37" s="217"/>
      <c r="J37" s="218"/>
      <c r="K37" s="218"/>
      <c r="L37" s="218"/>
      <c r="M37" s="219"/>
    </row>
    <row r="38" spans="2:20" ht="12" customHeight="1" x14ac:dyDescent="0.2">
      <c r="B38" s="179" t="s">
        <v>2338</v>
      </c>
      <c r="C38" s="208"/>
      <c r="D38" s="208"/>
      <c r="E38" s="208"/>
      <c r="F38" s="208"/>
      <c r="G38" s="208"/>
      <c r="H38" s="208"/>
      <c r="I38" s="208"/>
      <c r="J38" s="180"/>
      <c r="K38" s="180"/>
      <c r="L38" s="180"/>
      <c r="M38" s="181"/>
    </row>
    <row r="39" spans="2:20" ht="12" customHeight="1" x14ac:dyDescent="0.2">
      <c r="B39" s="179" t="s">
        <v>617</v>
      </c>
      <c r="C39" s="208"/>
      <c r="D39" s="208"/>
      <c r="E39" s="208"/>
      <c r="F39" s="208"/>
      <c r="G39" s="208"/>
      <c r="H39" s="208"/>
      <c r="I39" s="208"/>
      <c r="J39" s="180"/>
      <c r="K39" s="180"/>
      <c r="L39" s="180"/>
      <c r="M39" s="181"/>
    </row>
    <row r="40" spans="2:20" ht="12" customHeight="1" x14ac:dyDescent="0.2">
      <c r="B40" s="179" t="s">
        <v>3781</v>
      </c>
      <c r="C40" s="208"/>
      <c r="D40" s="208"/>
      <c r="E40" s="208"/>
      <c r="F40" s="208"/>
      <c r="G40" s="208"/>
      <c r="H40" s="208"/>
      <c r="I40" s="208"/>
      <c r="J40" s="180"/>
      <c r="K40" s="180"/>
      <c r="L40" s="180"/>
      <c r="M40" s="181"/>
    </row>
    <row r="41" spans="2:20" ht="12" customHeight="1" x14ac:dyDescent="0.2">
      <c r="B41" s="179" t="s">
        <v>3782</v>
      </c>
      <c r="C41" s="208"/>
      <c r="D41" s="208"/>
      <c r="E41" s="208"/>
      <c r="F41" s="208"/>
      <c r="G41" s="208"/>
      <c r="H41" s="208"/>
      <c r="I41" s="208"/>
      <c r="J41" s="180"/>
      <c r="K41" s="180"/>
      <c r="L41" s="180"/>
      <c r="M41" s="181"/>
    </row>
    <row r="42" spans="2:20" ht="11.25" customHeight="1" x14ac:dyDescent="0.2">
      <c r="B42" s="220" t="s">
        <v>1918</v>
      </c>
      <c r="C42" s="221"/>
      <c r="D42" s="221"/>
      <c r="E42" s="221"/>
      <c r="F42" s="221"/>
      <c r="G42" s="221"/>
      <c r="H42" s="221"/>
      <c r="I42" s="221"/>
      <c r="J42" s="221"/>
      <c r="K42" s="221"/>
      <c r="L42" s="221"/>
      <c r="M42" s="222"/>
    </row>
    <row r="43" spans="2:20" ht="12" customHeight="1" x14ac:dyDescent="0.2">
      <c r="B43" s="180"/>
      <c r="C43" s="180"/>
      <c r="D43" s="180"/>
      <c r="E43" s="180"/>
      <c r="F43" s="180"/>
      <c r="G43" s="180"/>
      <c r="H43" s="180"/>
      <c r="I43" s="180"/>
      <c r="J43" s="180"/>
      <c r="K43" s="180"/>
      <c r="L43" s="180"/>
      <c r="M43" s="180"/>
    </row>
    <row r="44" spans="2:20" ht="12" customHeight="1" x14ac:dyDescent="0.2">
      <c r="O44" s="185"/>
      <c r="P44" s="185"/>
      <c r="Q44" s="185"/>
      <c r="R44" s="176"/>
      <c r="T44" s="176"/>
    </row>
    <row r="45" spans="2:20" ht="12" customHeight="1" x14ac:dyDescent="0.2">
      <c r="B45" s="223" t="s">
        <v>1919</v>
      </c>
      <c r="P45" s="175"/>
      <c r="R45" s="176"/>
      <c r="T45" s="176"/>
    </row>
    <row r="46" spans="2:20" ht="12" customHeight="1" x14ac:dyDescent="0.2">
      <c r="B46" s="174" t="s">
        <v>1923</v>
      </c>
      <c r="P46" s="175"/>
      <c r="R46" s="176"/>
      <c r="T46" s="176"/>
    </row>
    <row r="47" spans="2:20" ht="12" customHeight="1" x14ac:dyDescent="0.2">
      <c r="P47" s="175"/>
      <c r="R47" s="176"/>
      <c r="T47" s="176"/>
    </row>
    <row r="48" spans="2:20" ht="12" customHeight="1" x14ac:dyDescent="0.2">
      <c r="B48" s="223" t="s">
        <v>3746</v>
      </c>
    </row>
    <row r="49" spans="2:16" ht="12" customHeight="1" x14ac:dyDescent="0.2">
      <c r="B49" s="2109" t="s">
        <v>1924</v>
      </c>
      <c r="C49" s="2109"/>
      <c r="D49" s="2109"/>
      <c r="E49" s="2109"/>
      <c r="F49" s="2109"/>
      <c r="G49" s="2109"/>
      <c r="H49" s="2109"/>
      <c r="I49" s="2109"/>
      <c r="J49" s="2109"/>
      <c r="K49" s="2109"/>
      <c r="L49" s="2109"/>
      <c r="M49" s="2109"/>
      <c r="N49" s="2109"/>
      <c r="O49" s="2109"/>
      <c r="P49" s="2109"/>
    </row>
    <row r="50" spans="2:16" ht="12" customHeight="1" x14ac:dyDescent="0.2">
      <c r="B50" s="2109"/>
      <c r="C50" s="2109"/>
      <c r="D50" s="2109"/>
      <c r="E50" s="2109"/>
      <c r="F50" s="2109"/>
      <c r="G50" s="2109"/>
      <c r="H50" s="2109"/>
      <c r="I50" s="2109"/>
      <c r="J50" s="2109"/>
      <c r="K50" s="2109"/>
      <c r="L50" s="2109"/>
      <c r="M50" s="2109"/>
      <c r="N50" s="2109"/>
      <c r="O50" s="2109"/>
      <c r="P50" s="2109"/>
    </row>
    <row r="51" spans="2:16" ht="12" customHeight="1" x14ac:dyDescent="0.2">
      <c r="B51" s="224" t="s">
        <v>1925</v>
      </c>
    </row>
    <row r="52" spans="2:16" ht="12" customHeight="1" x14ac:dyDescent="0.2">
      <c r="B52" s="224" t="s">
        <v>3105</v>
      </c>
    </row>
    <row r="53" spans="2:16" ht="12" customHeight="1" x14ac:dyDescent="0.2">
      <c r="B53" s="224" t="s">
        <v>462</v>
      </c>
    </row>
    <row r="54" spans="2:16" ht="12" customHeight="1" x14ac:dyDescent="0.2">
      <c r="B54" s="224" t="s">
        <v>463</v>
      </c>
    </row>
    <row r="55" spans="2:16" ht="12" customHeight="1" x14ac:dyDescent="0.2">
      <c r="B55" s="224" t="s">
        <v>3106</v>
      </c>
    </row>
    <row r="56" spans="2:16" ht="12" customHeight="1" x14ac:dyDescent="0.2">
      <c r="B56" s="224" t="s">
        <v>3107</v>
      </c>
    </row>
  </sheetData>
  <mergeCells count="11">
    <mergeCell ref="B2:M2"/>
    <mergeCell ref="B49:P50"/>
    <mergeCell ref="G32:M32"/>
    <mergeCell ref="B32:F32"/>
    <mergeCell ref="B3:M3"/>
    <mergeCell ref="B4:M4"/>
    <mergeCell ref="B20:E20"/>
    <mergeCell ref="B6:M6"/>
    <mergeCell ref="B13:M13"/>
    <mergeCell ref="J20:M20"/>
    <mergeCell ref="F20:I20"/>
  </mergeCells>
  <phoneticPr fontId="27" type="noConversion"/>
  <pageMargins left="0.75" right="0.75" top="1" bottom="1" header="0.5" footer="0.5"/>
  <pageSetup orientation="portrait" r:id="rId1"/>
  <headerFooter alignWithMargins="0"/>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3"/>
  <dimension ref="B2:M28"/>
  <sheetViews>
    <sheetView workbookViewId="0">
      <selection activeCell="D27" sqref="D27"/>
    </sheetView>
  </sheetViews>
  <sheetFormatPr defaultColWidth="8.7109375" defaultRowHeight="12" customHeight="1" x14ac:dyDescent="0.2"/>
  <cols>
    <col min="1" max="1" width="3.5703125" style="174" customWidth="1"/>
    <col min="2" max="16384" width="8.7109375" style="174"/>
  </cols>
  <sheetData>
    <row r="2" spans="2:13" ht="12" customHeight="1" x14ac:dyDescent="0.2">
      <c r="B2" s="2116" t="s">
        <v>3733</v>
      </c>
      <c r="C2" s="1960"/>
      <c r="D2" s="1960"/>
      <c r="E2" s="1960"/>
      <c r="F2" s="1960"/>
      <c r="G2" s="1960"/>
      <c r="H2" s="1960"/>
      <c r="I2" s="1960"/>
      <c r="J2" s="1960"/>
      <c r="K2" s="1960"/>
      <c r="L2" s="1960"/>
      <c r="M2" s="2117"/>
    </row>
    <row r="3" spans="2:13" ht="12" customHeight="1" x14ac:dyDescent="0.2">
      <c r="B3" s="2118" t="s">
        <v>3734</v>
      </c>
      <c r="C3" s="2119"/>
      <c r="D3" s="2119"/>
      <c r="E3" s="2119"/>
      <c r="F3" s="2119"/>
      <c r="G3" s="2119"/>
      <c r="H3" s="2119"/>
      <c r="I3" s="2119"/>
      <c r="J3" s="2119"/>
      <c r="K3" s="2119"/>
      <c r="L3" s="2119"/>
      <c r="M3" s="2120"/>
    </row>
    <row r="4" spans="2:13" ht="12" customHeight="1" x14ac:dyDescent="0.2">
      <c r="B4" s="220"/>
      <c r="C4" s="221"/>
      <c r="D4" s="221"/>
      <c r="E4" s="454" t="s">
        <v>476</v>
      </c>
      <c r="F4" s="685" t="str">
        <f>'Wrk A'!$H$5</f>
        <v>Block</v>
      </c>
      <c r="G4" s="919" t="s">
        <v>3985</v>
      </c>
      <c r="H4" s="920" t="str">
        <f>'Wrk A'!C15</f>
        <v>Jul &amp; Aug</v>
      </c>
      <c r="I4" s="919" t="s">
        <v>1079</v>
      </c>
      <c r="J4" s="951">
        <f>'Wrk A'!K16</f>
        <v>0.5</v>
      </c>
      <c r="K4" s="221"/>
      <c r="L4" s="221"/>
      <c r="M4" s="222"/>
    </row>
    <row r="5" spans="2:13" ht="12" customHeight="1" x14ac:dyDescent="0.2">
      <c r="B5" s="216" t="s">
        <v>4121</v>
      </c>
      <c r="C5" s="218"/>
      <c r="D5" s="218"/>
      <c r="E5" s="218"/>
      <c r="F5" s="218"/>
      <c r="G5" s="218"/>
      <c r="H5" s="218"/>
      <c r="I5" s="218"/>
      <c r="J5" s="218"/>
      <c r="K5" s="218"/>
      <c r="L5" s="218"/>
      <c r="M5" s="219"/>
    </row>
    <row r="6" spans="2:13" ht="12" customHeight="1" x14ac:dyDescent="0.2">
      <c r="B6" s="471" t="s">
        <v>4119</v>
      </c>
      <c r="C6" s="180"/>
      <c r="D6" s="180"/>
      <c r="E6" s="180"/>
      <c r="F6" s="180"/>
      <c r="G6" s="180"/>
      <c r="H6" s="180"/>
      <c r="I6" s="180"/>
      <c r="J6" s="180"/>
      <c r="K6" s="180"/>
      <c r="L6" s="180"/>
      <c r="M6" s="181"/>
    </row>
    <row r="7" spans="2:13" ht="12" customHeight="1" x14ac:dyDescent="0.2">
      <c r="B7" s="471" t="s">
        <v>1069</v>
      </c>
      <c r="C7" s="180"/>
      <c r="D7" s="180"/>
      <c r="E7" s="180"/>
      <c r="F7" s="180"/>
      <c r="G7" s="180"/>
      <c r="H7" s="180"/>
      <c r="I7" s="180"/>
      <c r="J7" s="180"/>
      <c r="K7" s="180"/>
      <c r="L7" s="180"/>
      <c r="M7" s="181"/>
    </row>
    <row r="8" spans="2:13" ht="12" customHeight="1" x14ac:dyDescent="0.2">
      <c r="B8" s="471" t="s">
        <v>1070</v>
      </c>
      <c r="C8" s="180"/>
      <c r="D8" s="180"/>
      <c r="E8" s="180"/>
      <c r="F8" s="180"/>
      <c r="G8" s="180"/>
      <c r="H8" s="180"/>
      <c r="I8" s="180"/>
      <c r="J8" s="180"/>
      <c r="K8" s="180"/>
      <c r="L8" s="180"/>
      <c r="M8" s="181"/>
    </row>
    <row r="9" spans="2:13" ht="12" customHeight="1" x14ac:dyDescent="0.2">
      <c r="B9" s="471" t="s">
        <v>4120</v>
      </c>
      <c r="C9" s="180"/>
      <c r="D9" s="180"/>
      <c r="E9" s="180"/>
      <c r="F9" s="180"/>
      <c r="G9" s="180"/>
      <c r="H9" s="180"/>
      <c r="I9" s="180"/>
      <c r="J9" s="180"/>
      <c r="L9" s="798" t="s">
        <v>2589</v>
      </c>
      <c r="M9" s="866">
        <f>S7</f>
        <v>0</v>
      </c>
    </row>
    <row r="10" spans="2:13" ht="12" customHeight="1" x14ac:dyDescent="0.2">
      <c r="B10" s="471" t="s">
        <v>905</v>
      </c>
      <c r="C10" s="478"/>
      <c r="D10" s="478"/>
      <c r="E10" s="478"/>
      <c r="F10" s="478"/>
      <c r="G10" s="180"/>
      <c r="H10" s="180"/>
      <c r="I10" s="180"/>
      <c r="J10" s="180"/>
      <c r="K10" s="180"/>
      <c r="L10" s="798" t="s">
        <v>2885</v>
      </c>
      <c r="M10" s="867">
        <f>S5</f>
        <v>0</v>
      </c>
    </row>
    <row r="11" spans="2:13" ht="12" customHeight="1" x14ac:dyDescent="0.2">
      <c r="B11" s="471" t="s">
        <v>2219</v>
      </c>
      <c r="C11" s="478"/>
      <c r="D11" s="478"/>
      <c r="E11" s="478"/>
      <c r="F11" s="478"/>
      <c r="G11" s="180"/>
      <c r="H11" s="180"/>
      <c r="I11" s="180"/>
      <c r="J11" s="180"/>
      <c r="K11" s="180"/>
      <c r="L11" s="798" t="s">
        <v>2886</v>
      </c>
      <c r="M11" s="867">
        <f>S6</f>
        <v>0</v>
      </c>
    </row>
    <row r="12" spans="2:13" ht="12" customHeight="1" x14ac:dyDescent="0.2">
      <c r="B12" s="192" t="s">
        <v>2167</v>
      </c>
      <c r="C12" s="797"/>
      <c r="D12" s="797"/>
      <c r="E12" s="797"/>
      <c r="F12" s="797"/>
      <c r="G12" s="221"/>
      <c r="H12" s="221"/>
      <c r="I12" s="221"/>
      <c r="J12" s="221"/>
      <c r="K12" s="221"/>
      <c r="L12" s="221"/>
      <c r="M12" s="222"/>
    </row>
    <row r="13" spans="2:13" ht="12" customHeight="1" x14ac:dyDescent="0.2">
      <c r="B13" s="203"/>
      <c r="C13" s="175"/>
      <c r="D13" s="175"/>
      <c r="E13" s="175"/>
      <c r="F13" s="175"/>
      <c r="M13" s="271"/>
    </row>
    <row r="14" spans="2:13" ht="12" customHeight="1" x14ac:dyDescent="0.2">
      <c r="B14" s="2125" t="s">
        <v>3681</v>
      </c>
      <c r="C14" s="1645"/>
      <c r="D14" s="1645"/>
      <c r="E14" s="1645"/>
      <c r="F14" s="1645"/>
      <c r="G14" s="1395"/>
      <c r="H14" s="1395"/>
      <c r="I14" s="1395"/>
      <c r="J14" s="1395"/>
      <c r="K14" s="1395"/>
      <c r="L14" s="1395"/>
      <c r="M14" s="1396"/>
    </row>
    <row r="15" spans="2:13" ht="12" customHeight="1" x14ac:dyDescent="0.2">
      <c r="B15" s="802" t="s">
        <v>2222</v>
      </c>
      <c r="C15" s="803"/>
      <c r="D15" s="803"/>
      <c r="E15" s="803"/>
      <c r="F15" s="803"/>
      <c r="G15" s="225"/>
      <c r="H15" s="227"/>
      <c r="I15" s="802" t="s">
        <v>2223</v>
      </c>
      <c r="J15" s="803"/>
      <c r="K15" s="803"/>
      <c r="L15" s="803"/>
      <c r="M15" s="804"/>
    </row>
    <row r="16" spans="2:13" ht="12" customHeight="1" x14ac:dyDescent="0.2">
      <c r="B16" s="799" t="s">
        <v>3091</v>
      </c>
      <c r="C16" s="183" t="s">
        <v>3419</v>
      </c>
      <c r="D16" s="199" t="s">
        <v>3415</v>
      </c>
      <c r="E16" s="199" t="s">
        <v>1055</v>
      </c>
      <c r="F16" s="824" t="s">
        <v>1302</v>
      </c>
      <c r="G16" s="229"/>
      <c r="H16" s="231"/>
      <c r="I16" s="2126" t="s">
        <v>2224</v>
      </c>
      <c r="J16" s="1383"/>
      <c r="K16" s="1383"/>
      <c r="L16" s="1383"/>
      <c r="M16" s="1384"/>
    </row>
    <row r="17" spans="2:13" ht="12" customHeight="1" x14ac:dyDescent="0.2">
      <c r="B17" s="801" t="s">
        <v>3090</v>
      </c>
      <c r="C17" s="202" t="s">
        <v>3984</v>
      </c>
      <c r="D17" s="201" t="s">
        <v>3416</v>
      </c>
      <c r="E17" s="201" t="s">
        <v>3416</v>
      </c>
      <c r="F17" s="825" t="s">
        <v>1696</v>
      </c>
      <c r="G17" s="229"/>
      <c r="H17" s="231"/>
      <c r="I17" s="1385"/>
      <c r="J17" s="1386"/>
      <c r="K17" s="1386"/>
      <c r="L17" s="1386"/>
      <c r="M17" s="1387"/>
    </row>
    <row r="18" spans="2:13" ht="12" customHeight="1" x14ac:dyDescent="0.2">
      <c r="B18" s="511"/>
      <c r="C18" s="187" t="s">
        <v>3421</v>
      </c>
      <c r="D18" s="511"/>
      <c r="E18" s="511"/>
      <c r="F18" s="826" t="s">
        <v>1695</v>
      </c>
      <c r="G18" s="229"/>
      <c r="H18" s="231"/>
      <c r="I18" s="1385"/>
      <c r="J18" s="1386"/>
      <c r="K18" s="1386"/>
      <c r="L18" s="1386"/>
      <c r="M18" s="1387"/>
    </row>
    <row r="19" spans="2:13" ht="12" customHeight="1" x14ac:dyDescent="0.2">
      <c r="B19" s="800" t="s">
        <v>2220</v>
      </c>
      <c r="C19" s="661" t="e">
        <f>#REF!</f>
        <v>#REF!</v>
      </c>
      <c r="D19" s="573">
        <f>M10</f>
        <v>0</v>
      </c>
      <c r="E19" s="2121">
        <f>M9</f>
        <v>0</v>
      </c>
      <c r="F19" s="2123" t="e">
        <f>(C19*D19+C20*D20)/E19</f>
        <v>#REF!</v>
      </c>
      <c r="G19" s="229"/>
      <c r="H19" s="231"/>
      <c r="I19" s="1385"/>
      <c r="J19" s="1386"/>
      <c r="K19" s="1386"/>
      <c r="L19" s="1386"/>
      <c r="M19" s="1387"/>
    </row>
    <row r="20" spans="2:13" ht="12" customHeight="1" x14ac:dyDescent="0.2">
      <c r="B20" s="805" t="s">
        <v>2221</v>
      </c>
      <c r="C20" s="851">
        <f>'D2'!O12</f>
        <v>0</v>
      </c>
      <c r="D20" s="809">
        <f>M11</f>
        <v>0</v>
      </c>
      <c r="E20" s="2122"/>
      <c r="F20" s="2124"/>
      <c r="G20" s="232"/>
      <c r="H20" s="234"/>
      <c r="I20" s="2010"/>
      <c r="J20" s="2011"/>
      <c r="K20" s="2011"/>
      <c r="L20" s="2011"/>
      <c r="M20" s="1653"/>
    </row>
    <row r="21" spans="2:13" ht="12" customHeight="1" x14ac:dyDescent="0.2">
      <c r="B21" s="216" t="s">
        <v>928</v>
      </c>
      <c r="C21" s="218"/>
      <c r="D21" s="218"/>
      <c r="E21" s="218"/>
      <c r="F21" s="218"/>
      <c r="G21" s="180"/>
      <c r="H21" s="180"/>
      <c r="I21" s="180"/>
      <c r="J21" s="180"/>
      <c r="K21" s="180"/>
      <c r="L21" s="180"/>
      <c r="M21" s="181"/>
    </row>
    <row r="22" spans="2:13" ht="12" customHeight="1" x14ac:dyDescent="0.2">
      <c r="B22" s="179" t="s">
        <v>2364</v>
      </c>
      <c r="C22" s="180"/>
      <c r="D22" s="180"/>
      <c r="E22" s="180"/>
      <c r="F22" s="180"/>
      <c r="G22" s="180"/>
      <c r="H22" s="180"/>
      <c r="I22" s="180"/>
      <c r="J22" s="180"/>
      <c r="K22" s="180"/>
      <c r="L22" s="180"/>
      <c r="M22" s="181"/>
    </row>
    <row r="23" spans="2:13" ht="12" customHeight="1" x14ac:dyDescent="0.2">
      <c r="B23" s="179" t="s">
        <v>2552</v>
      </c>
      <c r="C23" s="180"/>
      <c r="D23" s="180"/>
      <c r="E23" s="180"/>
      <c r="F23" s="180"/>
      <c r="G23" s="180"/>
      <c r="H23" s="180"/>
      <c r="I23" s="180"/>
      <c r="J23" s="180"/>
      <c r="K23" s="180"/>
      <c r="L23" s="180"/>
      <c r="M23" s="181"/>
    </row>
    <row r="24" spans="2:13" ht="12" customHeight="1" x14ac:dyDescent="0.2">
      <c r="B24" s="220" t="s">
        <v>51</v>
      </c>
      <c r="C24" s="221"/>
      <c r="D24" s="221"/>
      <c r="E24" s="221"/>
      <c r="F24" s="221"/>
      <c r="G24" s="221"/>
      <c r="H24" s="221"/>
      <c r="I24" s="221"/>
      <c r="J24" s="221"/>
      <c r="K24" s="221"/>
      <c r="L24" s="221"/>
      <c r="M24" s="222"/>
    </row>
    <row r="25" spans="2:13" ht="12" customHeight="1" x14ac:dyDescent="0.2">
      <c r="B25" s="180"/>
      <c r="C25" s="180"/>
      <c r="D25" s="180"/>
      <c r="E25" s="180"/>
      <c r="F25" s="180"/>
      <c r="G25" s="180"/>
      <c r="H25" s="180"/>
      <c r="I25" s="180"/>
      <c r="J25" s="180"/>
      <c r="K25" s="180"/>
      <c r="L25" s="180"/>
      <c r="M25" s="180"/>
    </row>
    <row r="26" spans="2:13" ht="12" customHeight="1" x14ac:dyDescent="0.2">
      <c r="B26" s="185" t="s">
        <v>2828</v>
      </c>
      <c r="C26" s="185" t="s">
        <v>2829</v>
      </c>
      <c r="D26" s="793"/>
      <c r="F26" s="180"/>
      <c r="G26" s="180"/>
      <c r="H26" s="180"/>
      <c r="I26" s="180"/>
      <c r="J26" s="180"/>
      <c r="K26" s="180"/>
      <c r="L26" s="180"/>
      <c r="M26" s="180"/>
    </row>
    <row r="27" spans="2:13" ht="12" customHeight="1" x14ac:dyDescent="0.2">
      <c r="B27" s="881" t="e">
        <f>F19</f>
        <v>#REF!</v>
      </c>
      <c r="C27" s="791">
        <f>'Wrk A'!J26</f>
        <v>75</v>
      </c>
      <c r="D27" s="881" t="e">
        <f>B27-C27</f>
        <v>#REF!</v>
      </c>
      <c r="E27" s="795" t="s">
        <v>3868</v>
      </c>
      <c r="F27" s="180"/>
      <c r="G27" s="180"/>
      <c r="H27" s="180"/>
      <c r="I27" s="180"/>
      <c r="J27" s="180"/>
      <c r="K27" s="180"/>
      <c r="L27" s="180"/>
      <c r="M27" s="180"/>
    </row>
    <row r="28" spans="2:13" ht="12" customHeight="1" x14ac:dyDescent="0.2">
      <c r="C28" s="180"/>
      <c r="D28" s="180"/>
      <c r="E28" s="180"/>
      <c r="F28" s="180"/>
      <c r="G28" s="180"/>
      <c r="H28" s="180"/>
      <c r="I28" s="180"/>
      <c r="J28" s="180"/>
      <c r="K28" s="180"/>
      <c r="L28" s="180"/>
      <c r="M28" s="180"/>
    </row>
  </sheetData>
  <mergeCells count="6">
    <mergeCell ref="B2:M2"/>
    <mergeCell ref="B3:M3"/>
    <mergeCell ref="E19:E20"/>
    <mergeCell ref="F19:F20"/>
    <mergeCell ref="B14:M14"/>
    <mergeCell ref="I16:M20"/>
  </mergeCells>
  <phoneticPr fontId="27"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7"/>
  <dimension ref="A2:AA88"/>
  <sheetViews>
    <sheetView topLeftCell="A2" workbookViewId="0">
      <selection activeCell="S19" sqref="S19"/>
    </sheetView>
  </sheetViews>
  <sheetFormatPr defaultColWidth="9.140625" defaultRowHeight="11.45" customHeight="1" x14ac:dyDescent="0.2"/>
  <cols>
    <col min="1" max="1" width="3.7109375" style="55" customWidth="1"/>
    <col min="2" max="2" width="3.7109375" style="54" customWidth="1"/>
    <col min="3" max="3" width="9.7109375" style="54" customWidth="1"/>
    <col min="4" max="4" width="5.42578125" style="54" customWidth="1"/>
    <col min="5" max="16" width="9.140625" style="54"/>
    <col min="17" max="17" width="7.85546875" style="55" customWidth="1"/>
    <col min="18" max="18" width="9.140625" style="55"/>
    <col min="19" max="22" width="9.140625" style="54"/>
    <col min="23" max="16384" width="9.140625" style="55"/>
  </cols>
  <sheetData>
    <row r="2" spans="2:27" ht="11.45" customHeight="1" x14ac:dyDescent="0.2">
      <c r="B2" s="1374" t="s">
        <v>1299</v>
      </c>
      <c r="C2" s="1375"/>
      <c r="D2" s="1375"/>
      <c r="E2" s="1375"/>
      <c r="F2" s="1375"/>
      <c r="G2" s="1375"/>
      <c r="H2" s="1375"/>
      <c r="I2" s="1375"/>
      <c r="J2" s="1375"/>
      <c r="K2" s="1375"/>
      <c r="L2" s="1375"/>
      <c r="M2" s="1375"/>
      <c r="N2" s="1376"/>
      <c r="O2" s="1376"/>
      <c r="P2" s="1377"/>
      <c r="R2" s="1337" t="s">
        <v>2586</v>
      </c>
      <c r="S2" s="1338"/>
      <c r="T2" s="1338"/>
      <c r="U2" s="1338"/>
      <c r="V2" s="1338"/>
      <c r="W2" s="1338"/>
      <c r="X2" s="1339"/>
    </row>
    <row r="3" spans="2:27" ht="11.45" customHeight="1" x14ac:dyDescent="0.2">
      <c r="B3" s="1378"/>
      <c r="C3" s="1379"/>
      <c r="D3" s="1379"/>
      <c r="E3" s="1379"/>
      <c r="F3" s="1379"/>
      <c r="G3" s="1379"/>
      <c r="H3" s="1379"/>
      <c r="I3" s="1379"/>
      <c r="J3" s="1379"/>
      <c r="K3" s="1379"/>
      <c r="L3" s="1379"/>
      <c r="M3" s="1379"/>
      <c r="N3" s="1380"/>
      <c r="O3" s="1380"/>
      <c r="P3" s="1381"/>
      <c r="R3" s="1340" t="s">
        <v>3956</v>
      </c>
      <c r="S3" s="1341"/>
      <c r="T3" s="828">
        <f>T5-X7</f>
        <v>31</v>
      </c>
      <c r="V3" s="829"/>
      <c r="W3" s="830"/>
      <c r="X3" s="823"/>
    </row>
    <row r="4" spans="2:27" ht="8.1" customHeight="1" x14ac:dyDescent="0.2">
      <c r="B4" s="101"/>
      <c r="C4" s="286"/>
      <c r="D4" s="286"/>
      <c r="E4" s="286"/>
      <c r="F4" s="286"/>
      <c r="G4" s="286"/>
      <c r="H4" s="286"/>
      <c r="I4" s="286"/>
      <c r="J4" s="286"/>
      <c r="K4" s="104"/>
      <c r="L4" s="104"/>
      <c r="M4" s="104"/>
      <c r="N4" s="104"/>
      <c r="O4" s="104"/>
      <c r="P4" s="105"/>
      <c r="R4" s="303"/>
      <c r="S4" s="113"/>
      <c r="T4" s="113"/>
      <c r="U4" s="113"/>
      <c r="V4" s="113"/>
      <c r="W4" s="126"/>
      <c r="X4" s="304"/>
    </row>
    <row r="5" spans="2:27" ht="11.45" customHeight="1" x14ac:dyDescent="0.2">
      <c r="B5" s="1394" t="s">
        <v>3985</v>
      </c>
      <c r="C5" s="1395"/>
      <c r="D5" s="1396"/>
      <c r="E5" s="914" t="s">
        <v>1079</v>
      </c>
      <c r="F5" s="56" t="s">
        <v>3480</v>
      </c>
      <c r="G5" s="5" t="s">
        <v>1080</v>
      </c>
      <c r="H5" s="1371" t="s">
        <v>2610</v>
      </c>
      <c r="I5" s="1328"/>
      <c r="J5" s="1371" t="s">
        <v>1072</v>
      </c>
      <c r="K5" s="1328"/>
      <c r="L5" s="311" t="s">
        <v>608</v>
      </c>
      <c r="M5" s="1365" t="s">
        <v>2573</v>
      </c>
      <c r="N5" s="1366"/>
      <c r="O5" s="1359" t="s">
        <v>475</v>
      </c>
      <c r="P5" s="1360"/>
      <c r="R5" s="115"/>
      <c r="S5" s="315" t="s">
        <v>931</v>
      </c>
      <c r="T5" s="691">
        <f>H7</f>
        <v>106</v>
      </c>
      <c r="U5" s="96"/>
      <c r="V5" s="695"/>
      <c r="W5" s="558" t="s">
        <v>2609</v>
      </c>
      <c r="X5" s="696">
        <f>'Wrk A'!C20</f>
        <v>106</v>
      </c>
    </row>
    <row r="6" spans="2:27" ht="11.45" customHeight="1" x14ac:dyDescent="0.2">
      <c r="B6" s="915"/>
      <c r="C6" s="916"/>
      <c r="D6" s="917"/>
      <c r="E6" s="918"/>
      <c r="F6" s="11"/>
      <c r="G6" s="5"/>
      <c r="H6" s="5" t="s">
        <v>2744</v>
      </c>
      <c r="I6" s="5" t="s">
        <v>2745</v>
      </c>
      <c r="J6" s="5" t="s">
        <v>2744</v>
      </c>
      <c r="K6" s="310" t="s">
        <v>2745</v>
      </c>
      <c r="L6" s="312" t="s">
        <v>3477</v>
      </c>
      <c r="M6" s="1367"/>
      <c r="N6" s="1368"/>
      <c r="O6" s="1361" t="s">
        <v>474</v>
      </c>
      <c r="P6" s="1362"/>
      <c r="R6" s="115"/>
      <c r="S6" s="315" t="s">
        <v>932</v>
      </c>
      <c r="T6" s="691">
        <f>I7</f>
        <v>75</v>
      </c>
      <c r="U6" s="96"/>
      <c r="V6" s="578"/>
      <c r="W6" s="315" t="s">
        <v>1073</v>
      </c>
      <c r="X6" s="692">
        <f>J7</f>
        <v>99.1</v>
      </c>
    </row>
    <row r="7" spans="2:27" ht="11.45" customHeight="1" x14ac:dyDescent="0.2">
      <c r="B7" s="1356" t="str">
        <f>'Wrk A'!C15</f>
        <v>Jul &amp; Aug</v>
      </c>
      <c r="C7" s="1357"/>
      <c r="D7" s="1358"/>
      <c r="E7" s="949">
        <f>'Wrk A'!K16</f>
        <v>0.5</v>
      </c>
      <c r="F7" s="140">
        <f>'Wrk A'!J5</f>
        <v>36</v>
      </c>
      <c r="G7" s="140">
        <f>'Wrk A'!D27</f>
        <v>40</v>
      </c>
      <c r="H7" s="140">
        <f>'Wrk A'!G12</f>
        <v>106</v>
      </c>
      <c r="I7" s="140">
        <f>'Wrk A'!G11</f>
        <v>75</v>
      </c>
      <c r="J7" s="140">
        <f>'Wrk A'!J25</f>
        <v>99.1</v>
      </c>
      <c r="K7" s="684">
        <f>'Wrk A'!J26</f>
        <v>75</v>
      </c>
      <c r="L7" s="684">
        <f>'Wrk A'!L25</f>
        <v>30</v>
      </c>
      <c r="M7" s="1369"/>
      <c r="N7" s="1370"/>
      <c r="O7" s="1363" t="str">
        <f>'Wrk A'!H5</f>
        <v>Block</v>
      </c>
      <c r="P7" s="1364"/>
      <c r="R7" s="305" t="s">
        <v>3370</v>
      </c>
      <c r="S7" s="104"/>
      <c r="T7" s="104"/>
      <c r="U7" s="104"/>
      <c r="V7" s="579"/>
      <c r="W7" s="315" t="s">
        <v>1074</v>
      </c>
      <c r="X7" s="693">
        <f>K7</f>
        <v>75</v>
      </c>
    </row>
    <row r="8" spans="2:27" ht="8.1" customHeight="1" x14ac:dyDescent="0.2">
      <c r="B8" s="308"/>
      <c r="C8" s="313"/>
      <c r="D8" s="313"/>
      <c r="E8" s="318"/>
      <c r="F8" s="319"/>
      <c r="G8" s="319"/>
      <c r="H8" s="319"/>
      <c r="I8" s="319"/>
      <c r="J8" s="319"/>
      <c r="K8" s="320"/>
      <c r="L8" s="321"/>
      <c r="M8" s="322"/>
      <c r="N8" s="322"/>
      <c r="O8" s="314"/>
      <c r="P8" s="323"/>
      <c r="R8" s="126"/>
      <c r="S8" s="126"/>
      <c r="T8" s="113"/>
      <c r="U8" s="113"/>
      <c r="V8" s="113"/>
      <c r="W8" s="126"/>
      <c r="X8" s="304"/>
    </row>
    <row r="9" spans="2:27" ht="11.45" customHeight="1" x14ac:dyDescent="0.2">
      <c r="B9" s="1382" t="s">
        <v>2339</v>
      </c>
      <c r="C9" s="1383"/>
      <c r="D9" s="1384"/>
      <c r="E9" s="56" t="s">
        <v>1029</v>
      </c>
      <c r="F9" s="309" t="s">
        <v>1302</v>
      </c>
      <c r="G9" s="309" t="s">
        <v>3947</v>
      </c>
      <c r="H9" s="309" t="s">
        <v>1042</v>
      </c>
      <c r="I9" s="309" t="s">
        <v>2807</v>
      </c>
      <c r="J9" s="309" t="s">
        <v>2808</v>
      </c>
      <c r="K9" s="309" t="s">
        <v>3497</v>
      </c>
      <c r="L9" s="309" t="s">
        <v>1080</v>
      </c>
      <c r="M9" s="309" t="s">
        <v>2838</v>
      </c>
      <c r="N9" s="309" t="s">
        <v>2746</v>
      </c>
      <c r="O9" s="309" t="s">
        <v>3983</v>
      </c>
      <c r="P9" s="309" t="s">
        <v>3984</v>
      </c>
      <c r="R9" s="719" t="s">
        <v>4102</v>
      </c>
      <c r="S9" s="104"/>
      <c r="T9" s="104"/>
      <c r="U9" s="104"/>
      <c r="V9" s="104"/>
      <c r="W9" s="124"/>
      <c r="X9" s="117"/>
    </row>
    <row r="10" spans="2:27" ht="11.45" customHeight="1" x14ac:dyDescent="0.2">
      <c r="B10" s="1385"/>
      <c r="C10" s="1386"/>
      <c r="D10" s="1387"/>
      <c r="E10" s="106" t="s">
        <v>1300</v>
      </c>
      <c r="F10" s="106" t="s">
        <v>1027</v>
      </c>
      <c r="G10" s="106" t="s">
        <v>948</v>
      </c>
      <c r="H10" s="106" t="s">
        <v>948</v>
      </c>
      <c r="I10" s="106" t="s">
        <v>948</v>
      </c>
      <c r="J10" s="106" t="s">
        <v>2809</v>
      </c>
      <c r="K10" s="106" t="s">
        <v>2810</v>
      </c>
      <c r="L10" s="106" t="s">
        <v>1300</v>
      </c>
      <c r="M10" s="106" t="s">
        <v>489</v>
      </c>
      <c r="N10" s="54" t="s">
        <v>3500</v>
      </c>
      <c r="O10" s="106" t="s">
        <v>1175</v>
      </c>
      <c r="P10" s="106" t="s">
        <v>1175</v>
      </c>
      <c r="R10" s="297" t="s">
        <v>2812</v>
      </c>
      <c r="S10" s="127" t="s">
        <v>936</v>
      </c>
      <c r="T10" s="127" t="s">
        <v>2574</v>
      </c>
      <c r="U10" s="56" t="s">
        <v>3493</v>
      </c>
      <c r="V10" s="56" t="s">
        <v>938</v>
      </c>
      <c r="W10" s="56" t="s">
        <v>608</v>
      </c>
      <c r="X10" s="287" t="s">
        <v>4167</v>
      </c>
    </row>
    <row r="11" spans="2:27" ht="11.45" customHeight="1" x14ac:dyDescent="0.2">
      <c r="B11" s="1385"/>
      <c r="C11" s="1386"/>
      <c r="D11" s="1387"/>
      <c r="E11" s="106" t="s">
        <v>1178</v>
      </c>
      <c r="F11" s="106" t="s">
        <v>2805</v>
      </c>
      <c r="G11" s="106" t="s">
        <v>2806</v>
      </c>
      <c r="H11" s="106" t="s">
        <v>2806</v>
      </c>
      <c r="I11" s="106" t="s">
        <v>2806</v>
      </c>
      <c r="J11" s="106" t="s">
        <v>1301</v>
      </c>
      <c r="K11" s="106" t="s">
        <v>4164</v>
      </c>
      <c r="L11" s="106" t="s">
        <v>4166</v>
      </c>
      <c r="M11" s="106" t="s">
        <v>4165</v>
      </c>
      <c r="N11" s="106" t="s">
        <v>4168</v>
      </c>
      <c r="O11" s="106"/>
      <c r="P11" s="106"/>
      <c r="R11" s="298" t="s">
        <v>1182</v>
      </c>
      <c r="S11" s="103" t="s">
        <v>3500</v>
      </c>
      <c r="T11" s="106" t="s">
        <v>1298</v>
      </c>
      <c r="U11" s="106" t="s">
        <v>1097</v>
      </c>
      <c r="V11" s="106" t="s">
        <v>1097</v>
      </c>
      <c r="W11" s="106" t="s">
        <v>3477</v>
      </c>
      <c r="X11" s="106" t="s">
        <v>3500</v>
      </c>
    </row>
    <row r="12" spans="2:27" ht="11.45" customHeight="1" x14ac:dyDescent="0.2">
      <c r="B12" s="324"/>
      <c r="C12" s="325" t="s">
        <v>2747</v>
      </c>
      <c r="D12" s="326"/>
      <c r="E12" s="11" t="s">
        <v>1301</v>
      </c>
      <c r="F12" s="11" t="s">
        <v>1301</v>
      </c>
      <c r="G12" s="11"/>
      <c r="H12" s="11"/>
      <c r="I12" s="11"/>
      <c r="J12" s="11"/>
      <c r="K12" s="11" t="s">
        <v>4165</v>
      </c>
      <c r="L12" s="11"/>
      <c r="M12" s="11"/>
      <c r="N12" s="144" t="s">
        <v>4169</v>
      </c>
      <c r="O12" s="11"/>
      <c r="P12" s="11"/>
      <c r="R12" s="119"/>
      <c r="S12" s="105" t="s">
        <v>4165</v>
      </c>
      <c r="T12" s="105" t="s">
        <v>1297</v>
      </c>
      <c r="U12" s="11" t="s">
        <v>59</v>
      </c>
      <c r="V12" s="11" t="s">
        <v>937</v>
      </c>
      <c r="W12" s="11" t="s">
        <v>1097</v>
      </c>
      <c r="X12" s="119"/>
    </row>
    <row r="13" spans="2:27" ht="11.45" customHeight="1" x14ac:dyDescent="0.2">
      <c r="B13" s="3" t="s">
        <v>402</v>
      </c>
      <c r="C13" s="288"/>
      <c r="D13" s="288"/>
      <c r="E13" s="288"/>
      <c r="F13" s="288"/>
      <c r="G13" s="289"/>
      <c r="H13" s="289"/>
      <c r="I13" s="289"/>
      <c r="J13" s="288"/>
      <c r="K13" s="751" t="s">
        <v>935</v>
      </c>
      <c r="L13" s="752">
        <f>'Wrk A'!D27</f>
        <v>40</v>
      </c>
      <c r="M13" s="289"/>
      <c r="N13" s="288"/>
      <c r="O13" s="288"/>
      <c r="P13" s="290"/>
      <c r="R13" s="1351" t="s">
        <v>2340</v>
      </c>
      <c r="S13" s="1352"/>
      <c r="T13" s="1352"/>
      <c r="U13" s="1352"/>
      <c r="V13" s="1352"/>
      <c r="W13" s="1352"/>
      <c r="X13" s="1353"/>
    </row>
    <row r="14" spans="2:27" ht="11.45" customHeight="1" x14ac:dyDescent="0.2">
      <c r="B14" s="82" t="s">
        <v>481</v>
      </c>
      <c r="C14" s="609">
        <f>DoorI!C5</f>
        <v>0</v>
      </c>
      <c r="D14" s="146">
        <f>DoorI!V5</f>
        <v>0</v>
      </c>
      <c r="E14" s="299">
        <v>1</v>
      </c>
      <c r="F14" s="71">
        <f>DoorI!Y5</f>
        <v>0</v>
      </c>
      <c r="G14" s="142">
        <f>E14*F14</f>
        <v>0</v>
      </c>
      <c r="H14" s="1391" t="s">
        <v>934</v>
      </c>
      <c r="I14" s="291"/>
      <c r="J14" s="292"/>
      <c r="K14" s="317" t="str">
        <f>DoorI!AF5</f>
        <v/>
      </c>
      <c r="L14" s="299">
        <f>'Form N1'!$P$3</f>
        <v>40</v>
      </c>
      <c r="M14" s="294"/>
      <c r="N14" s="102">
        <f>X14</f>
        <v>29.099999999999994</v>
      </c>
      <c r="O14" s="591">
        <f>IF(C14=0,0,K14*L14)</f>
        <v>0</v>
      </c>
      <c r="P14" s="591">
        <f>IF(C14=0,0,K14*N14)</f>
        <v>0</v>
      </c>
      <c r="Q14" s="55">
        <f>IF('Form N1'!$P$4&lt;0,0,'Wrk D'!P14)</f>
        <v>0</v>
      </c>
      <c r="R14" s="82" t="s">
        <v>481</v>
      </c>
      <c r="S14" s="71">
        <f>KW!$C$122</f>
        <v>36</v>
      </c>
      <c r="T14" s="300"/>
      <c r="U14" s="296">
        <f>IF(C16="",1,VLOOKUP(DoorI!AB5,KW!$A$164:$B$166,2))</f>
        <v>1</v>
      </c>
      <c r="V14" s="1346">
        <f>(X6-T5)+(75-X7)</f>
        <v>-6.9000000000000057</v>
      </c>
      <c r="W14" s="300"/>
      <c r="X14" s="140">
        <f>S14*U14+V$14</f>
        <v>29.099999999999994</v>
      </c>
      <c r="Z14" s="1018" t="s">
        <v>3772</v>
      </c>
      <c r="AA14" s="1014">
        <f>($X$6-$T$5)+(75-$X$7)</f>
        <v>-6.9000000000000057</v>
      </c>
    </row>
    <row r="15" spans="2:27" ht="11.45" customHeight="1" x14ac:dyDescent="0.2">
      <c r="B15" s="82" t="s">
        <v>482</v>
      </c>
      <c r="C15" s="609">
        <f>DoorI!C6</f>
        <v>0</v>
      </c>
      <c r="D15" s="146">
        <f>DoorI!V6</f>
        <v>0</v>
      </c>
      <c r="E15" s="299">
        <v>1</v>
      </c>
      <c r="F15" s="71">
        <f>DoorI!Y6</f>
        <v>0</v>
      </c>
      <c r="G15" s="142">
        <f>E15*F15</f>
        <v>0</v>
      </c>
      <c r="H15" s="1392"/>
      <c r="I15" s="291"/>
      <c r="J15" s="293"/>
      <c r="K15" s="317" t="str">
        <f>DoorI!AF6</f>
        <v/>
      </c>
      <c r="L15" s="299">
        <f>'Form N1'!$P$3</f>
        <v>40</v>
      </c>
      <c r="M15" s="294"/>
      <c r="N15" s="102">
        <f>X15</f>
        <v>29.099999999999994</v>
      </c>
      <c r="O15" s="591">
        <f>IF(C15=0,0,K15*L15)</f>
        <v>0</v>
      </c>
      <c r="P15" s="591">
        <f>IF(C15=0,0,K15*N15)</f>
        <v>0</v>
      </c>
      <c r="Q15" s="55">
        <f>IF('Form N1'!$P$4&lt;0,0,'Wrk D'!P15)</f>
        <v>0</v>
      </c>
      <c r="R15" s="82" t="s">
        <v>482</v>
      </c>
      <c r="S15" s="71">
        <f>KW!$C$122</f>
        <v>36</v>
      </c>
      <c r="T15" s="301"/>
      <c r="U15" s="296">
        <f>IF(C17="",1,VLOOKUP(DoorI!AB6,KW!$A$164:$B$166,2))</f>
        <v>1</v>
      </c>
      <c r="V15" s="1354"/>
      <c r="W15" s="301"/>
      <c r="X15" s="140">
        <f>S15*U15+V$14</f>
        <v>29.099999999999994</v>
      </c>
      <c r="Z15" s="1018" t="s">
        <v>3773</v>
      </c>
      <c r="AA15" s="1014">
        <f>($T$5-95)+(75-$X$7)</f>
        <v>11</v>
      </c>
    </row>
    <row r="16" spans="2:27" ht="11.45" customHeight="1" x14ac:dyDescent="0.2">
      <c r="B16" s="82" t="s">
        <v>483</v>
      </c>
      <c r="C16" s="609">
        <f>DoorI!C7</f>
        <v>0</v>
      </c>
      <c r="D16" s="146">
        <f>DoorI!V7</f>
        <v>0</v>
      </c>
      <c r="E16" s="299">
        <v>1</v>
      </c>
      <c r="F16" s="71">
        <f>DoorI!Y7</f>
        <v>0</v>
      </c>
      <c r="G16" s="142">
        <f>E16*F16</f>
        <v>0</v>
      </c>
      <c r="H16" s="1393"/>
      <c r="I16" s="291"/>
      <c r="J16" s="293"/>
      <c r="K16" s="317" t="str">
        <f>DoorI!AF7</f>
        <v/>
      </c>
      <c r="L16" s="299">
        <f>'Form N1'!$P$3</f>
        <v>40</v>
      </c>
      <c r="M16" s="294"/>
      <c r="N16" s="102" t="e">
        <f>X16</f>
        <v>#N/A</v>
      </c>
      <c r="O16" s="591">
        <f>IF(C16=0,0,K16*L16)</f>
        <v>0</v>
      </c>
      <c r="P16" s="591">
        <f>IF(C16=0,0,K16*N16)</f>
        <v>0</v>
      </c>
      <c r="Q16" s="55">
        <f>IF('Form N1'!$P$4&lt;0,0,'Wrk D'!P16)</f>
        <v>0</v>
      </c>
      <c r="R16" s="82" t="s">
        <v>483</v>
      </c>
      <c r="S16" s="71">
        <f>KW!$C$122</f>
        <v>36</v>
      </c>
      <c r="T16" s="302"/>
      <c r="U16" s="296" t="e">
        <f>IF(C18="",1,VLOOKUP(DoorI!AB7,KW!$A$164:$B$166,2))</f>
        <v>#N/A</v>
      </c>
      <c r="V16" s="1355"/>
      <c r="W16" s="302"/>
      <c r="X16" s="140" t="e">
        <f>S16*U16+V$14</f>
        <v>#N/A</v>
      </c>
      <c r="Z16" s="1018" t="s">
        <v>3774</v>
      </c>
      <c r="AA16" s="1014">
        <f>($T$5-95)+(75-$X$7)</f>
        <v>11</v>
      </c>
    </row>
    <row r="17" spans="2:27" ht="11.45" customHeight="1" x14ac:dyDescent="0.2">
      <c r="B17" s="3" t="s">
        <v>3469</v>
      </c>
      <c r="C17" s="288"/>
      <c r="D17" s="288"/>
      <c r="E17" s="288"/>
      <c r="F17" s="288"/>
      <c r="G17" s="289"/>
      <c r="H17" s="289"/>
      <c r="I17" s="289"/>
      <c r="J17" s="288"/>
      <c r="K17" s="751" t="s">
        <v>935</v>
      </c>
      <c r="L17" s="752">
        <f>L$13</f>
        <v>40</v>
      </c>
      <c r="M17" s="289"/>
      <c r="N17" s="288"/>
      <c r="O17" s="288"/>
      <c r="P17" s="290"/>
      <c r="R17" s="1334" t="s">
        <v>2585</v>
      </c>
      <c r="S17" s="1335"/>
      <c r="T17" s="1335"/>
      <c r="U17" s="1335"/>
      <c r="V17" s="1335"/>
      <c r="W17" s="1335"/>
      <c r="X17" s="1350"/>
      <c r="Z17" s="1018" t="s">
        <v>3775</v>
      </c>
      <c r="AA17" s="1014">
        <f>($T$5-95)+(75-$X$7)</f>
        <v>11</v>
      </c>
    </row>
    <row r="18" spans="2:27" ht="11.45" customHeight="1" x14ac:dyDescent="0.2">
      <c r="B18" s="82" t="s">
        <v>481</v>
      </c>
      <c r="C18" s="608">
        <f>WallI!C5</f>
        <v>0</v>
      </c>
      <c r="D18" s="6">
        <f>WallI!Y5</f>
        <v>0</v>
      </c>
      <c r="E18" s="299">
        <f>WallI!V5</f>
        <v>0</v>
      </c>
      <c r="F18" s="71">
        <v>1</v>
      </c>
      <c r="G18" s="419">
        <f t="shared" ref="G18:G23" si="0">E18*F18</f>
        <v>0</v>
      </c>
      <c r="H18" s="71"/>
      <c r="I18" s="419">
        <f t="shared" ref="I18:I23" si="1">G18-H18</f>
        <v>0</v>
      </c>
      <c r="J18" s="291"/>
      <c r="K18" s="317" t="str">
        <f>WallI!AF5</f>
        <v/>
      </c>
      <c r="L18" s="299">
        <f>'Form N1'!$P$3</f>
        <v>40</v>
      </c>
      <c r="M18" s="138" t="str">
        <f>WallI!AN5</f>
        <v/>
      </c>
      <c r="N18" s="102" t="e">
        <f t="shared" ref="N18:N23" si="2">X18</f>
        <v>#N/A</v>
      </c>
      <c r="O18" s="591" t="str">
        <f>IF(C18=0,"",K18*L18)</f>
        <v/>
      </c>
      <c r="P18" s="591" t="str">
        <f>IF(C18=0,"",K18*N18)</f>
        <v/>
      </c>
      <c r="Q18" s="55" t="str">
        <f>IF('Form N1'!$P$4&lt;0,0,'Wrk D'!P18)</f>
        <v/>
      </c>
      <c r="R18" s="82" t="s">
        <v>481</v>
      </c>
      <c r="S18" s="295" t="e">
        <f>WallI!AI5</f>
        <v>#N/A</v>
      </c>
      <c r="T18" s="295"/>
      <c r="U18" s="296">
        <f>IF(C18="",1,VLOOKUP(WallI!AB5,KW!$A$164:$B$166,2))</f>
        <v>1</v>
      </c>
      <c r="V18" s="1342">
        <f>(T5-95)+(75-X$7)</f>
        <v>11</v>
      </c>
      <c r="W18" s="1346">
        <f>(20-L7)/2</f>
        <v>-5</v>
      </c>
      <c r="X18" s="120" t="e">
        <f t="shared" ref="X18:X25" si="3">(S18+T18)*U18+V$18+W$18</f>
        <v>#N/A</v>
      </c>
      <c r="Z18" s="1018" t="s">
        <v>3776</v>
      </c>
      <c r="AA18" s="1014">
        <f>(X5-T5)+(T6-X7)</f>
        <v>0</v>
      </c>
    </row>
    <row r="19" spans="2:27" ht="11.45" customHeight="1" x14ac:dyDescent="0.2">
      <c r="B19" s="82" t="s">
        <v>482</v>
      </c>
      <c r="C19" s="608">
        <f>WallI!C6</f>
        <v>0</v>
      </c>
      <c r="D19" s="6">
        <f>WallI!Y6</f>
        <v>0</v>
      </c>
      <c r="E19" s="299">
        <f>WallI!V6</f>
        <v>0</v>
      </c>
      <c r="F19" s="71">
        <v>1</v>
      </c>
      <c r="G19" s="419">
        <f t="shared" si="0"/>
        <v>0</v>
      </c>
      <c r="H19" s="71"/>
      <c r="I19" s="419">
        <f t="shared" si="1"/>
        <v>0</v>
      </c>
      <c r="J19" s="291"/>
      <c r="K19" s="317" t="str">
        <f>WallI!AF6</f>
        <v/>
      </c>
      <c r="L19" s="299">
        <f>'Form N1'!$P$3</f>
        <v>40</v>
      </c>
      <c r="M19" s="138" t="str">
        <f>WallI!AN6</f>
        <v/>
      </c>
      <c r="N19" s="102" t="e">
        <f t="shared" si="2"/>
        <v>#N/A</v>
      </c>
      <c r="O19" s="591" t="str">
        <f t="shared" ref="O19:O27" si="4">IF(C19=0,"",K19*L19)</f>
        <v/>
      </c>
      <c r="P19" s="591" t="str">
        <f t="shared" ref="P19:P27" si="5">IF(C19=0,"",K19*N19)</f>
        <v/>
      </c>
      <c r="Q19" s="55" t="str">
        <f>IF('Form N1'!$P$4&lt;0,0,'Wrk D'!P19)</f>
        <v/>
      </c>
      <c r="R19" s="82" t="s">
        <v>482</v>
      </c>
      <c r="S19" s="295" t="e">
        <f>WallI!AI6</f>
        <v>#N/A</v>
      </c>
      <c r="T19" s="71"/>
      <c r="U19" s="296" t="e">
        <f>IF(C19="",1,VLOOKUP(WallI!AB6,KW!$A$164:$B$166,2))</f>
        <v>#N/A</v>
      </c>
      <c r="V19" s="1343"/>
      <c r="W19" s="1347"/>
      <c r="X19" s="120" t="e">
        <f t="shared" si="3"/>
        <v>#N/A</v>
      </c>
      <c r="Z19" s="1018" t="s">
        <v>3771</v>
      </c>
      <c r="AA19" s="1014">
        <f>($T$5-95)+(75-$X$7)</f>
        <v>11</v>
      </c>
    </row>
    <row r="20" spans="2:27" ht="11.45" customHeight="1" x14ac:dyDescent="0.2">
      <c r="B20" s="82" t="s">
        <v>483</v>
      </c>
      <c r="C20" s="608">
        <f>WallI!C7</f>
        <v>0</v>
      </c>
      <c r="D20" s="6">
        <f>WallI!Y7</f>
        <v>0</v>
      </c>
      <c r="E20" s="299">
        <f>WallI!V7</f>
        <v>0</v>
      </c>
      <c r="F20" s="71">
        <v>1</v>
      </c>
      <c r="G20" s="419">
        <f t="shared" si="0"/>
        <v>0</v>
      </c>
      <c r="H20" s="71"/>
      <c r="I20" s="419">
        <f t="shared" si="1"/>
        <v>0</v>
      </c>
      <c r="J20" s="291"/>
      <c r="K20" s="317" t="str">
        <f>WallI!AF7</f>
        <v/>
      </c>
      <c r="L20" s="299">
        <f>'Form N1'!$P$3</f>
        <v>40</v>
      </c>
      <c r="M20" s="138" t="str">
        <f>WallI!AN7</f>
        <v/>
      </c>
      <c r="N20" s="102" t="e">
        <f t="shared" si="2"/>
        <v>#N/A</v>
      </c>
      <c r="O20" s="591" t="str">
        <f t="shared" si="4"/>
        <v/>
      </c>
      <c r="P20" s="591" t="str">
        <f t="shared" si="5"/>
        <v/>
      </c>
      <c r="Q20" s="55" t="str">
        <f>IF('Form N1'!$P$4&lt;0,0,'Wrk D'!P20)</f>
        <v/>
      </c>
      <c r="R20" s="82" t="s">
        <v>483</v>
      </c>
      <c r="S20" s="295" t="e">
        <f>WallI!AI7</f>
        <v>#N/A</v>
      </c>
      <c r="T20" s="71"/>
      <c r="U20" s="296" t="e">
        <f>IF(C20="",1,VLOOKUP(WallI!AB7,KW!$A$164:$B$166,2))</f>
        <v>#N/A</v>
      </c>
      <c r="V20" s="1343"/>
      <c r="W20" s="1347"/>
      <c r="X20" s="120" t="e">
        <f t="shared" si="3"/>
        <v>#N/A</v>
      </c>
      <c r="Z20" s="1018">
        <v>19</v>
      </c>
      <c r="AA20" s="1014">
        <v>0</v>
      </c>
    </row>
    <row r="21" spans="2:27" ht="11.45" customHeight="1" x14ac:dyDescent="0.2">
      <c r="B21" s="82" t="s">
        <v>484</v>
      </c>
      <c r="C21" s="608">
        <f>WallI!C8</f>
        <v>0</v>
      </c>
      <c r="D21" s="6">
        <f>WallI!Y8</f>
        <v>0</v>
      </c>
      <c r="E21" s="299">
        <f>WallI!V8</f>
        <v>0</v>
      </c>
      <c r="F21" s="71">
        <v>1</v>
      </c>
      <c r="G21" s="419">
        <f t="shared" si="0"/>
        <v>0</v>
      </c>
      <c r="H21" s="71"/>
      <c r="I21" s="419">
        <f t="shared" si="1"/>
        <v>0</v>
      </c>
      <c r="J21" s="291"/>
      <c r="K21" s="317" t="str">
        <f>WallI!AF8</f>
        <v/>
      </c>
      <c r="L21" s="299">
        <f>'Form N1'!$P$3</f>
        <v>40</v>
      </c>
      <c r="M21" s="138" t="str">
        <f>WallI!AN8</f>
        <v/>
      </c>
      <c r="N21" s="102" t="e">
        <f t="shared" si="2"/>
        <v>#N/A</v>
      </c>
      <c r="O21" s="591" t="str">
        <f t="shared" si="4"/>
        <v/>
      </c>
      <c r="P21" s="591" t="str">
        <f t="shared" si="5"/>
        <v/>
      </c>
      <c r="Q21" s="55" t="str">
        <f>IF('Form N1'!$P$4&lt;0,0,'Wrk D'!P21)</f>
        <v/>
      </c>
      <c r="R21" s="82" t="s">
        <v>484</v>
      </c>
      <c r="S21" s="295" t="e">
        <f>WallI!AI8</f>
        <v>#N/A</v>
      </c>
      <c r="T21" s="71"/>
      <c r="U21" s="296" t="e">
        <f>IF(C21="",1,VLOOKUP(WallI!AB8,KW!$A$164:$B$166,2))</f>
        <v>#N/A</v>
      </c>
      <c r="V21" s="1344"/>
      <c r="W21" s="1348"/>
      <c r="X21" s="120" t="e">
        <f t="shared" si="3"/>
        <v>#N/A</v>
      </c>
      <c r="Z21" s="1018" t="s">
        <v>3777</v>
      </c>
      <c r="AA21" s="1014">
        <f>($X$6-$T$5)+(75-$X$7)</f>
        <v>-6.9000000000000057</v>
      </c>
    </row>
    <row r="22" spans="2:27" ht="11.45" customHeight="1" x14ac:dyDescent="0.2">
      <c r="B22" s="82" t="s">
        <v>485</v>
      </c>
      <c r="C22" s="608">
        <f>WallI!C9</f>
        <v>0</v>
      </c>
      <c r="D22" s="6">
        <f>WallI!Y9</f>
        <v>0</v>
      </c>
      <c r="E22" s="299">
        <f>WallI!V9</f>
        <v>0</v>
      </c>
      <c r="F22" s="71">
        <v>1</v>
      </c>
      <c r="G22" s="419">
        <f t="shared" si="0"/>
        <v>0</v>
      </c>
      <c r="H22" s="846"/>
      <c r="I22" s="419">
        <f t="shared" si="1"/>
        <v>0</v>
      </c>
      <c r="J22" s="291"/>
      <c r="K22" s="317" t="str">
        <f>WallI!AF9</f>
        <v/>
      </c>
      <c r="L22" s="299">
        <f>'Form N1'!$P$3</f>
        <v>40</v>
      </c>
      <c r="M22" s="138" t="str">
        <f>WallI!AN9</f>
        <v/>
      </c>
      <c r="N22" s="102" t="e">
        <f t="shared" si="2"/>
        <v>#N/A</v>
      </c>
      <c r="O22" s="591" t="str">
        <f t="shared" si="4"/>
        <v/>
      </c>
      <c r="P22" s="591" t="str">
        <f t="shared" si="5"/>
        <v/>
      </c>
      <c r="Q22" s="55" t="str">
        <f>IF('Form N1'!$P$4&lt;0,0,'Wrk D'!P22)</f>
        <v/>
      </c>
      <c r="R22" s="82" t="s">
        <v>485</v>
      </c>
      <c r="S22" s="295" t="e">
        <f>WallI!AI9</f>
        <v>#N/A</v>
      </c>
      <c r="T22" s="71"/>
      <c r="U22" s="296" t="e">
        <f>IF(C22="",1,VLOOKUP(WallI!AB9,KW!$A$164:$B$166,2))</f>
        <v>#N/A</v>
      </c>
      <c r="V22" s="1344"/>
      <c r="W22" s="1348"/>
      <c r="X22" s="120" t="e">
        <f t="shared" si="3"/>
        <v>#N/A</v>
      </c>
      <c r="Z22" s="1018">
        <v>20</v>
      </c>
      <c r="AA22" s="1014">
        <f>($X$6-$T$5)+(75-$X$7)</f>
        <v>-6.9000000000000057</v>
      </c>
    </row>
    <row r="23" spans="2:27" ht="11.45" customHeight="1" x14ac:dyDescent="0.2">
      <c r="B23" s="82" t="s">
        <v>486</v>
      </c>
      <c r="C23" s="608">
        <f>WallI!C10</f>
        <v>0</v>
      </c>
      <c r="D23" s="6">
        <f>WallI!Y10</f>
        <v>0</v>
      </c>
      <c r="E23" s="299">
        <f>WallI!V10</f>
        <v>0</v>
      </c>
      <c r="F23" s="71">
        <v>1</v>
      </c>
      <c r="G23" s="419">
        <f t="shared" si="0"/>
        <v>0</v>
      </c>
      <c r="H23" s="846"/>
      <c r="I23" s="419">
        <f t="shared" si="1"/>
        <v>0</v>
      </c>
      <c r="J23" s="291"/>
      <c r="K23" s="317" t="str">
        <f>WallI!AF10</f>
        <v/>
      </c>
      <c r="L23" s="299">
        <f>'Form N1'!$P$3</f>
        <v>40</v>
      </c>
      <c r="M23" s="138" t="str">
        <f>WallI!AN10</f>
        <v/>
      </c>
      <c r="N23" s="102" t="e">
        <f t="shared" si="2"/>
        <v>#N/A</v>
      </c>
      <c r="O23" s="591" t="str">
        <f t="shared" si="4"/>
        <v/>
      </c>
      <c r="P23" s="591" t="str">
        <f t="shared" si="5"/>
        <v/>
      </c>
      <c r="Q23" s="55" t="str">
        <f>IF('Form N1'!$P$4&lt;0,0,'Wrk D'!P23)</f>
        <v/>
      </c>
      <c r="R23" s="82" t="s">
        <v>486</v>
      </c>
      <c r="S23" s="295" t="e">
        <f>WallI!AI10</f>
        <v>#N/A</v>
      </c>
      <c r="T23" s="71"/>
      <c r="U23" s="296" t="e">
        <f>IF(C23="",1,VLOOKUP(WallI!AB10,KW!$A$164:$B$166,2))</f>
        <v>#N/A</v>
      </c>
      <c r="V23" s="1344"/>
      <c r="W23" s="1348"/>
      <c r="X23" s="120" t="e">
        <f t="shared" si="3"/>
        <v>#N/A</v>
      </c>
      <c r="Z23" s="1256"/>
      <c r="AA23" s="1014"/>
    </row>
    <row r="24" spans="2:27" ht="11.45" customHeight="1" x14ac:dyDescent="0.2">
      <c r="B24" s="82" t="s">
        <v>487</v>
      </c>
      <c r="C24" s="608">
        <f>WallI!C11</f>
        <v>0</v>
      </c>
      <c r="D24" s="6">
        <f>WallI!Y11</f>
        <v>0</v>
      </c>
      <c r="E24" s="299">
        <f>WallI!V11</f>
        <v>0</v>
      </c>
      <c r="F24" s="71">
        <v>1</v>
      </c>
      <c r="G24" s="419">
        <f>E24*F24</f>
        <v>0</v>
      </c>
      <c r="H24" s="846"/>
      <c r="I24" s="419">
        <f>G24-H24</f>
        <v>0</v>
      </c>
      <c r="J24" s="291"/>
      <c r="K24" s="317" t="str">
        <f>WallI!AF11</f>
        <v/>
      </c>
      <c r="L24" s="299">
        <f>'Form N1'!$P$3</f>
        <v>40</v>
      </c>
      <c r="M24" s="138" t="str">
        <f>WallI!AN11</f>
        <v/>
      </c>
      <c r="N24" s="102" t="e">
        <f>X24</f>
        <v>#N/A</v>
      </c>
      <c r="O24" s="591" t="str">
        <f t="shared" si="4"/>
        <v/>
      </c>
      <c r="P24" s="591" t="str">
        <f t="shared" si="5"/>
        <v/>
      </c>
      <c r="Q24" s="55" t="str">
        <f>IF('Form N1'!$P$4&lt;0,0,'Wrk D'!P24)</f>
        <v/>
      </c>
      <c r="R24" s="82" t="s">
        <v>487</v>
      </c>
      <c r="S24" s="295" t="e">
        <f>WallI!AI11</f>
        <v>#N/A</v>
      </c>
      <c r="T24" s="71"/>
      <c r="U24" s="296" t="e">
        <f>IF(C24="",1,VLOOKUP(WallI!AB11,KW!$A$164:$B$166,2))</f>
        <v>#N/A</v>
      </c>
      <c r="V24" s="1344"/>
      <c r="W24" s="1348"/>
      <c r="X24" s="120" t="e">
        <f t="shared" si="3"/>
        <v>#N/A</v>
      </c>
    </row>
    <row r="25" spans="2:27" ht="11.45" customHeight="1" x14ac:dyDescent="0.2">
      <c r="B25" s="82" t="s">
        <v>488</v>
      </c>
      <c r="C25" s="608">
        <f>WallI!C12</f>
        <v>0</v>
      </c>
      <c r="D25" s="6">
        <f>WallI!Y12</f>
        <v>0</v>
      </c>
      <c r="E25" s="299">
        <f>WallI!V12</f>
        <v>0</v>
      </c>
      <c r="F25" s="71">
        <v>1</v>
      </c>
      <c r="G25" s="419">
        <f>E25*F25</f>
        <v>0</v>
      </c>
      <c r="H25" s="846"/>
      <c r="I25" s="419">
        <f>G25-H25</f>
        <v>0</v>
      </c>
      <c r="J25" s="291"/>
      <c r="K25" s="317" t="str">
        <f>WallI!AF12</f>
        <v/>
      </c>
      <c r="L25" s="299">
        <f>'Form N1'!$P$3</f>
        <v>40</v>
      </c>
      <c r="M25" s="138" t="str">
        <f>WallI!AN12</f>
        <v/>
      </c>
      <c r="N25" s="102" t="e">
        <f>X25</f>
        <v>#N/A</v>
      </c>
      <c r="O25" s="591" t="str">
        <f t="shared" si="4"/>
        <v/>
      </c>
      <c r="P25" s="591" t="str">
        <f t="shared" si="5"/>
        <v/>
      </c>
      <c r="Q25" s="55" t="str">
        <f>IF('Form N1'!$P$4&lt;0,0,'Wrk D'!P25)</f>
        <v/>
      </c>
      <c r="R25" s="82" t="s">
        <v>488</v>
      </c>
      <c r="S25" s="295" t="e">
        <f>WallI!AI12</f>
        <v>#N/A</v>
      </c>
      <c r="T25" s="71"/>
      <c r="U25" s="296" t="e">
        <f>IF(C25="",1,VLOOKUP(WallI!AB12,KW!$A$164:$B$166,2))</f>
        <v>#N/A</v>
      </c>
      <c r="V25" s="1345"/>
      <c r="W25" s="1349"/>
      <c r="X25" s="120" t="e">
        <f t="shared" si="3"/>
        <v>#N/A</v>
      </c>
    </row>
    <row r="26" spans="2:27" ht="11.45" customHeight="1" x14ac:dyDescent="0.2">
      <c r="B26" s="82" t="s">
        <v>978</v>
      </c>
      <c r="C26" s="788">
        <f>C29</f>
        <v>0</v>
      </c>
      <c r="D26" s="16">
        <f t="shared" ref="D26:F27" si="6">D29</f>
        <v>0</v>
      </c>
      <c r="E26" s="16">
        <f t="shared" si="6"/>
        <v>0</v>
      </c>
      <c r="F26" s="16">
        <f t="shared" si="6"/>
        <v>0</v>
      </c>
      <c r="G26" s="419">
        <f>E26*F26</f>
        <v>0</v>
      </c>
      <c r="H26" s="845">
        <f>H29</f>
        <v>0</v>
      </c>
      <c r="I26" s="419">
        <f>G26-H26</f>
        <v>0</v>
      </c>
      <c r="J26" s="419">
        <f t="shared" ref="J26:N27" si="7">J29</f>
        <v>0</v>
      </c>
      <c r="K26" s="16" t="str">
        <f t="shared" si="7"/>
        <v/>
      </c>
      <c r="L26" s="16">
        <f t="shared" si="7"/>
        <v>0</v>
      </c>
      <c r="M26" s="16">
        <f t="shared" si="7"/>
        <v>0</v>
      </c>
      <c r="N26" s="16">
        <f t="shared" si="7"/>
        <v>0</v>
      </c>
      <c r="O26" s="591" t="str">
        <f t="shared" si="4"/>
        <v/>
      </c>
      <c r="P26" s="591" t="str">
        <f t="shared" si="5"/>
        <v/>
      </c>
      <c r="Q26" s="55" t="str">
        <f>IF('Form N1'!$P$4&lt;0,0,'Wrk D'!P26)</f>
        <v/>
      </c>
      <c r="R26" s="126"/>
      <c r="S26" s="113"/>
      <c r="T26" s="113"/>
      <c r="U26" s="113"/>
      <c r="V26" s="113"/>
      <c r="W26" s="126"/>
      <c r="X26" s="126"/>
    </row>
    <row r="27" spans="2:27" ht="11.45" customHeight="1" x14ac:dyDescent="0.2">
      <c r="B27" s="82" t="s">
        <v>979</v>
      </c>
      <c r="C27" s="788">
        <f>C30</f>
        <v>0</v>
      </c>
      <c r="D27" s="16">
        <f t="shared" si="6"/>
        <v>0</v>
      </c>
      <c r="E27" s="16">
        <f t="shared" si="6"/>
        <v>0</v>
      </c>
      <c r="F27" s="16">
        <f t="shared" si="6"/>
        <v>0</v>
      </c>
      <c r="G27" s="419">
        <f>E27*F27</f>
        <v>0</v>
      </c>
      <c r="H27" s="845">
        <f>H30</f>
        <v>0</v>
      </c>
      <c r="I27" s="419">
        <f>G27-H27</f>
        <v>0</v>
      </c>
      <c r="J27" s="419">
        <f t="shared" si="7"/>
        <v>0</v>
      </c>
      <c r="K27" s="16" t="str">
        <f t="shared" si="7"/>
        <v/>
      </c>
      <c r="L27" s="16">
        <f t="shared" si="7"/>
        <v>0</v>
      </c>
      <c r="M27" s="16">
        <f t="shared" si="7"/>
        <v>0</v>
      </c>
      <c r="N27" s="16">
        <f t="shared" si="7"/>
        <v>0</v>
      </c>
      <c r="O27" s="591" t="str">
        <f t="shared" si="4"/>
        <v/>
      </c>
      <c r="P27" s="591" t="str">
        <f t="shared" si="5"/>
        <v/>
      </c>
      <c r="Q27" s="55" t="str">
        <f>IF('Form N1'!$P$4&lt;0,0,'Wrk D'!P27)</f>
        <v/>
      </c>
    </row>
    <row r="28" spans="2:27" ht="11.45" customHeight="1" x14ac:dyDescent="0.2">
      <c r="B28" s="3" t="s">
        <v>2741</v>
      </c>
      <c r="C28" s="288"/>
      <c r="D28" s="288"/>
      <c r="E28" s="288"/>
      <c r="F28" s="288"/>
      <c r="G28" s="288"/>
      <c r="H28" s="288"/>
      <c r="I28" s="288"/>
      <c r="J28" s="288"/>
      <c r="K28" s="288"/>
      <c r="L28" s="288"/>
      <c r="M28" s="288"/>
      <c r="N28" s="14"/>
      <c r="O28" s="288"/>
      <c r="P28" s="290"/>
      <c r="Q28" s="581"/>
    </row>
    <row r="29" spans="2:27" ht="11.45" customHeight="1" x14ac:dyDescent="0.2">
      <c r="B29" s="5" t="s">
        <v>978</v>
      </c>
      <c r="C29" s="633">
        <f>WallI!C16</f>
        <v>0</v>
      </c>
      <c r="D29" s="6"/>
      <c r="E29" s="71"/>
      <c r="F29" s="71"/>
      <c r="G29" s="419">
        <f>WallI!V16</f>
        <v>0</v>
      </c>
      <c r="H29" s="846"/>
      <c r="I29" s="419">
        <f>G29-H29</f>
        <v>0</v>
      </c>
      <c r="J29" s="599"/>
      <c r="K29" s="570" t="str">
        <f>WallI!AF16</f>
        <v/>
      </c>
      <c r="L29" s="71">
        <f>WallI!Y16</f>
        <v>0</v>
      </c>
      <c r="M29" s="146"/>
      <c r="N29" s="71">
        <f>WallI!AB16</f>
        <v>0</v>
      </c>
      <c r="O29" s="128" t="str">
        <f>IF(C29=0,"",K29*L29)</f>
        <v/>
      </c>
      <c r="P29" s="128" t="str">
        <f>IF(C29=0,"",K29*N29)</f>
        <v/>
      </c>
      <c r="Q29" s="607" t="s">
        <v>2572</v>
      </c>
      <c r="R29" s="303" t="s">
        <v>2571</v>
      </c>
      <c r="S29" s="113"/>
      <c r="T29" s="113"/>
      <c r="U29" s="113"/>
      <c r="V29" s="113"/>
      <c r="W29" s="126"/>
      <c r="X29" s="304"/>
      <c r="Y29" s="316"/>
      <c r="Z29" s="316"/>
    </row>
    <row r="30" spans="2:27" ht="11.45" customHeight="1" x14ac:dyDescent="0.2">
      <c r="B30" s="5" t="s">
        <v>979</v>
      </c>
      <c r="C30" s="633">
        <f>WallI!C17</f>
        <v>0</v>
      </c>
      <c r="D30" s="6"/>
      <c r="E30" s="71"/>
      <c r="F30" s="71"/>
      <c r="G30" s="419">
        <f>WallI!V17</f>
        <v>0</v>
      </c>
      <c r="H30" s="846"/>
      <c r="I30" s="419">
        <f>G30-H30</f>
        <v>0</v>
      </c>
      <c r="J30" s="599"/>
      <c r="K30" s="570" t="str">
        <f>WallI!AF17</f>
        <v/>
      </c>
      <c r="L30" s="71"/>
      <c r="M30" s="146"/>
      <c r="N30" s="71"/>
      <c r="O30" s="128" t="str">
        <f>IF(C30=0,"",K30*L30)</f>
        <v/>
      </c>
      <c r="P30" s="128" t="str">
        <f>IF(C30=0,"",K30*N30)</f>
        <v/>
      </c>
      <c r="R30" s="305"/>
      <c r="S30" s="104"/>
      <c r="T30" s="104"/>
      <c r="U30" s="104"/>
      <c r="V30" s="104"/>
      <c r="W30" s="124"/>
      <c r="X30" s="117"/>
      <c r="Y30" s="316"/>
      <c r="Z30" s="316"/>
    </row>
    <row r="31" spans="2:27" ht="11.45" customHeight="1" x14ac:dyDescent="0.2">
      <c r="B31" s="3" t="s">
        <v>2742</v>
      </c>
      <c r="C31" s="306"/>
      <c r="D31" s="306"/>
      <c r="E31" s="306"/>
      <c r="F31" s="306"/>
      <c r="G31" s="306"/>
      <c r="H31" s="306"/>
      <c r="I31" s="306"/>
      <c r="J31" s="306"/>
      <c r="K31" s="751" t="s">
        <v>935</v>
      </c>
      <c r="L31" s="752">
        <f>L$13</f>
        <v>40</v>
      </c>
      <c r="M31" s="306"/>
      <c r="N31" s="306"/>
      <c r="O31" s="306"/>
      <c r="P31" s="307"/>
    </row>
    <row r="32" spans="2:27" ht="11.45" customHeight="1" x14ac:dyDescent="0.2">
      <c r="B32" s="5" t="s">
        <v>481</v>
      </c>
      <c r="C32" s="1372"/>
      <c r="D32" s="1373"/>
      <c r="E32" s="71"/>
      <c r="F32" s="71"/>
      <c r="G32" s="419">
        <f>E32*F32</f>
        <v>0</v>
      </c>
      <c r="H32" s="599"/>
      <c r="I32" s="599"/>
      <c r="J32" s="599"/>
      <c r="K32" s="570"/>
      <c r="L32" s="71"/>
      <c r="M32" s="599"/>
      <c r="N32" s="599"/>
      <c r="O32" s="128">
        <f>K32*L32</f>
        <v>0</v>
      </c>
      <c r="P32" s="599"/>
    </row>
    <row r="33" spans="1:27" ht="11.45" customHeight="1" x14ac:dyDescent="0.2">
      <c r="A33" s="597"/>
      <c r="B33" s="5" t="s">
        <v>482</v>
      </c>
      <c r="C33" s="1372"/>
      <c r="D33" s="1373"/>
      <c r="E33" s="71"/>
      <c r="F33" s="71"/>
      <c r="G33" s="419">
        <f>E33*F33</f>
        <v>0</v>
      </c>
      <c r="H33" s="599"/>
      <c r="I33" s="599"/>
      <c r="J33" s="599"/>
      <c r="K33" s="570"/>
      <c r="L33" s="71"/>
      <c r="M33" s="599"/>
      <c r="N33" s="599"/>
      <c r="O33" s="128">
        <f>K33*L33</f>
        <v>0</v>
      </c>
      <c r="P33" s="599"/>
      <c r="Q33" s="597"/>
    </row>
    <row r="34" spans="1:27" ht="11.45" customHeight="1" x14ac:dyDescent="0.2">
      <c r="B34" s="5" t="s">
        <v>483</v>
      </c>
      <c r="C34" s="1372"/>
      <c r="D34" s="1373"/>
      <c r="E34" s="71"/>
      <c r="F34" s="71"/>
      <c r="G34" s="419">
        <f>E34*F34</f>
        <v>0</v>
      </c>
      <c r="H34" s="599"/>
      <c r="I34" s="599"/>
      <c r="J34" s="599"/>
      <c r="K34" s="570"/>
      <c r="L34" s="71"/>
      <c r="M34" s="599"/>
      <c r="N34" s="599"/>
      <c r="O34" s="128">
        <f>K34*L34</f>
        <v>0</v>
      </c>
      <c r="P34" s="599"/>
    </row>
    <row r="35" spans="1:27" ht="11.45" customHeight="1" x14ac:dyDescent="0.2">
      <c r="B35" s="597"/>
      <c r="C35" s="597"/>
      <c r="D35" s="597"/>
      <c r="E35" s="597"/>
      <c r="F35" s="597"/>
      <c r="G35" s="597"/>
      <c r="H35" s="597"/>
      <c r="I35" s="597"/>
      <c r="J35" s="597"/>
      <c r="K35" s="597"/>
      <c r="L35" s="597"/>
      <c r="M35" s="597"/>
      <c r="N35" s="597"/>
      <c r="O35" s="597"/>
      <c r="P35" s="597"/>
    </row>
    <row r="36" spans="1:27" ht="11.45" customHeight="1" x14ac:dyDescent="0.2">
      <c r="B36" s="36" t="s">
        <v>1255</v>
      </c>
      <c r="C36" s="503"/>
      <c r="D36" s="503"/>
      <c r="E36" s="503"/>
      <c r="F36" s="503"/>
      <c r="G36" s="503"/>
      <c r="H36" s="503"/>
      <c r="I36" s="503"/>
      <c r="J36" s="503"/>
      <c r="K36" s="503"/>
      <c r="L36" s="503"/>
      <c r="M36" s="503"/>
      <c r="N36" s="503"/>
      <c r="O36" s="503"/>
      <c r="P36" s="586"/>
      <c r="R36" s="719"/>
      <c r="S36" s="316"/>
      <c r="T36" s="316"/>
      <c r="U36" s="316"/>
      <c r="V36" s="316"/>
      <c r="W36" s="316"/>
      <c r="X36" s="316"/>
    </row>
    <row r="37" spans="1:27" ht="11.45" customHeight="1" x14ac:dyDescent="0.2">
      <c r="B37" s="582" t="s">
        <v>412</v>
      </c>
      <c r="C37" s="583"/>
      <c r="D37" s="583"/>
      <c r="E37" s="583"/>
      <c r="F37" s="584"/>
      <c r="G37" s="584" t="s">
        <v>5</v>
      </c>
      <c r="H37" s="583"/>
      <c r="I37" s="583"/>
      <c r="J37" s="583"/>
      <c r="K37" s="583"/>
      <c r="L37" s="95"/>
      <c r="M37" s="95"/>
      <c r="N37" s="585"/>
      <c r="O37" s="95"/>
      <c r="P37" s="103"/>
      <c r="R37" s="715" t="s">
        <v>3494</v>
      </c>
      <c r="S37" s="56" t="s">
        <v>936</v>
      </c>
      <c r="T37" s="56" t="s">
        <v>2574</v>
      </c>
      <c r="U37" s="56" t="s">
        <v>3493</v>
      </c>
      <c r="V37" s="56" t="s">
        <v>938</v>
      </c>
      <c r="W37" s="56" t="s">
        <v>608</v>
      </c>
      <c r="X37" s="287" t="s">
        <v>4167</v>
      </c>
    </row>
    <row r="38" spans="1:27" ht="11.45" customHeight="1" x14ac:dyDescent="0.2">
      <c r="B38" s="1382" t="s">
        <v>2339</v>
      </c>
      <c r="C38" s="1383"/>
      <c r="D38" s="1384"/>
      <c r="E38" s="56" t="s">
        <v>1302</v>
      </c>
      <c r="F38" s="309" t="s">
        <v>1302</v>
      </c>
      <c r="G38" s="309" t="s">
        <v>3947</v>
      </c>
      <c r="H38" s="309" t="s">
        <v>1042</v>
      </c>
      <c r="I38" s="309" t="s">
        <v>2807</v>
      </c>
      <c r="J38" s="309" t="s">
        <v>2577</v>
      </c>
      <c r="K38" s="309" t="s">
        <v>3506</v>
      </c>
      <c r="L38" s="309" t="s">
        <v>2575</v>
      </c>
      <c r="M38" s="309" t="s">
        <v>2838</v>
      </c>
      <c r="N38" s="753" t="s">
        <v>2746</v>
      </c>
      <c r="O38" s="309" t="s">
        <v>3983</v>
      </c>
      <c r="P38" s="309" t="s">
        <v>3984</v>
      </c>
      <c r="R38" s="716" t="s">
        <v>3502</v>
      </c>
      <c r="S38" s="106" t="s">
        <v>3500</v>
      </c>
      <c r="T38" s="106" t="s">
        <v>1097</v>
      </c>
      <c r="U38" s="106" t="s">
        <v>1097</v>
      </c>
      <c r="V38" s="106" t="s">
        <v>1097</v>
      </c>
      <c r="W38" s="106" t="s">
        <v>3477</v>
      </c>
      <c r="X38" s="106" t="s">
        <v>3500</v>
      </c>
    </row>
    <row r="39" spans="1:27" ht="11.45" customHeight="1" x14ac:dyDescent="0.2">
      <c r="B39" s="1385"/>
      <c r="C39" s="1388"/>
      <c r="D39" s="1387"/>
      <c r="E39" s="106" t="s">
        <v>1462</v>
      </c>
      <c r="F39" s="106" t="s">
        <v>1462</v>
      </c>
      <c r="G39" s="106" t="s">
        <v>1463</v>
      </c>
      <c r="H39" s="106" t="s">
        <v>948</v>
      </c>
      <c r="I39" s="106" t="s">
        <v>948</v>
      </c>
      <c r="J39" s="106" t="s">
        <v>3507</v>
      </c>
      <c r="K39" s="106" t="s">
        <v>3502</v>
      </c>
      <c r="L39" s="106" t="s">
        <v>4166</v>
      </c>
      <c r="M39" s="106" t="s">
        <v>489</v>
      </c>
      <c r="N39" s="754" t="s">
        <v>3500</v>
      </c>
      <c r="O39" s="106" t="s">
        <v>1175</v>
      </c>
      <c r="P39" s="106" t="s">
        <v>1175</v>
      </c>
      <c r="R39" s="717" t="s">
        <v>3500</v>
      </c>
      <c r="S39" s="11" t="s">
        <v>4165</v>
      </c>
      <c r="T39" s="11" t="s">
        <v>1297</v>
      </c>
      <c r="U39" s="11" t="s">
        <v>59</v>
      </c>
      <c r="V39" s="11" t="s">
        <v>937</v>
      </c>
      <c r="W39" s="11" t="s">
        <v>1097</v>
      </c>
      <c r="X39" s="119"/>
    </row>
    <row r="40" spans="1:27" ht="11.45" customHeight="1" x14ac:dyDescent="0.2">
      <c r="B40" s="1385"/>
      <c r="C40" s="1388"/>
      <c r="D40" s="1387"/>
      <c r="E40" s="106" t="s">
        <v>1178</v>
      </c>
      <c r="F40" s="106" t="s">
        <v>1029</v>
      </c>
      <c r="G40" s="106" t="s">
        <v>1464</v>
      </c>
      <c r="H40" s="106" t="s">
        <v>2806</v>
      </c>
      <c r="I40" s="106" t="s">
        <v>2806</v>
      </c>
      <c r="J40" s="106" t="s">
        <v>3506</v>
      </c>
      <c r="K40" s="106" t="s">
        <v>1095</v>
      </c>
      <c r="L40" s="106" t="s">
        <v>2576</v>
      </c>
      <c r="M40" s="106" t="s">
        <v>1106</v>
      </c>
      <c r="N40" s="755" t="s">
        <v>1105</v>
      </c>
      <c r="O40" s="106"/>
      <c r="P40" s="106"/>
      <c r="R40" s="1334" t="s">
        <v>755</v>
      </c>
      <c r="S40" s="1335"/>
      <c r="T40" s="1335"/>
      <c r="U40" s="1335"/>
      <c r="V40" s="1335"/>
      <c r="W40" s="1335"/>
      <c r="X40" s="1336"/>
    </row>
    <row r="41" spans="1:27" ht="11.45" customHeight="1" x14ac:dyDescent="0.2">
      <c r="B41" s="720"/>
      <c r="C41" s="721"/>
      <c r="D41" s="722"/>
      <c r="E41" s="11" t="s">
        <v>1301</v>
      </c>
      <c r="F41" s="11" t="s">
        <v>1301</v>
      </c>
      <c r="G41" s="11" t="s">
        <v>2806</v>
      </c>
      <c r="H41" s="11"/>
      <c r="I41" s="11"/>
      <c r="J41" s="11" t="s">
        <v>943</v>
      </c>
      <c r="K41" s="11" t="s">
        <v>2276</v>
      </c>
      <c r="L41" s="11" t="s">
        <v>2577</v>
      </c>
      <c r="M41" s="11"/>
      <c r="N41" s="756" t="s">
        <v>4169</v>
      </c>
      <c r="O41" s="11"/>
      <c r="P41" s="11"/>
      <c r="Q41" s="580"/>
      <c r="R41" s="1334" t="s">
        <v>432</v>
      </c>
      <c r="S41" s="1335"/>
      <c r="T41" s="1335"/>
      <c r="U41" s="1335"/>
      <c r="V41" s="1335"/>
      <c r="W41" s="1335"/>
      <c r="X41" s="1336"/>
    </row>
    <row r="42" spans="1:27" ht="11.45" customHeight="1" x14ac:dyDescent="0.2">
      <c r="B42" s="1389" t="s">
        <v>933</v>
      </c>
      <c r="C42" s="1390"/>
      <c r="D42" s="600" t="s">
        <v>2971</v>
      </c>
      <c r="E42" s="327"/>
      <c r="F42" s="327"/>
      <c r="G42" s="327"/>
      <c r="H42" s="328"/>
      <c r="I42" s="328"/>
      <c r="J42" s="601"/>
      <c r="K42" s="602" t="str">
        <f>K13</f>
        <v>HTD =</v>
      </c>
      <c r="L42" s="603">
        <f>L13</f>
        <v>40</v>
      </c>
      <c r="M42" s="789"/>
      <c r="N42" s="328"/>
      <c r="O42" s="328"/>
      <c r="P42" s="604"/>
      <c r="R42" s="1334" t="s">
        <v>3737</v>
      </c>
      <c r="S42" s="1335"/>
      <c r="T42" s="1335"/>
      <c r="U42" s="1335"/>
      <c r="V42" s="1335"/>
      <c r="W42" s="1335"/>
      <c r="X42" s="1336"/>
    </row>
    <row r="43" spans="1:27" ht="11.45" customHeight="1" x14ac:dyDescent="0.2">
      <c r="B43" s="5" t="s">
        <v>481</v>
      </c>
      <c r="C43" s="609">
        <f>CeilingI!C4</f>
        <v>0</v>
      </c>
      <c r="D43" s="88"/>
      <c r="E43" s="71">
        <f>CeilingI!V4</f>
        <v>0</v>
      </c>
      <c r="F43" s="71">
        <v>1</v>
      </c>
      <c r="G43" s="419">
        <f>(E43*F43)/COS(D43*3.14/180)</f>
        <v>0</v>
      </c>
      <c r="H43" s="422"/>
      <c r="I43" s="419">
        <f>G43-H43</f>
        <v>0</v>
      </c>
      <c r="J43" s="570" t="s">
        <v>1714</v>
      </c>
      <c r="K43" s="570" t="str">
        <f>CeilingI!AC4</f>
        <v/>
      </c>
      <c r="L43" s="71">
        <f>'Form N1'!$P$3</f>
        <v>40</v>
      </c>
      <c r="M43" s="146" t="str">
        <f>CeilingI!AH4</f>
        <v/>
      </c>
      <c r="N43" s="71" t="str">
        <f>IF(C43=0,"",R43)</f>
        <v/>
      </c>
      <c r="O43" s="128">
        <f>IF(C43=0,0,K43*L43)</f>
        <v>0</v>
      </c>
      <c r="P43" s="128">
        <f>IF(C43=0,0,K43*N43)</f>
        <v>0</v>
      </c>
      <c r="Q43" s="55">
        <f>IF('Form N1'!$P$4&lt;0,0,'Wrk D'!P43)</f>
        <v>0</v>
      </c>
      <c r="R43" s="718" t="e">
        <f>X43</f>
        <v>#VALUE!</v>
      </c>
      <c r="S43" s="71" t="str">
        <f>CeilingI!AF4</f>
        <v/>
      </c>
      <c r="T43" s="71"/>
      <c r="U43" s="121" t="str">
        <f>IF(CeilingI!AN4=16,1,CeilingI!AK4)</f>
        <v/>
      </c>
      <c r="V43" s="1015" t="e">
        <f>Z43</f>
        <v>#N/A</v>
      </c>
      <c r="W43" s="1015">
        <f>$W$18</f>
        <v>-5</v>
      </c>
      <c r="X43" s="120" t="e">
        <f>(S43+T43)*U43+V43+W43</f>
        <v>#VALUE!</v>
      </c>
      <c r="Z43" s="55" t="e">
        <f>VLOOKUP(CeilingI!AN4,'Wrk D'!$Z$14:$AA$21,2,FALSE)</f>
        <v>#N/A</v>
      </c>
      <c r="AA43" s="1017"/>
    </row>
    <row r="44" spans="1:27" ht="11.45" customHeight="1" x14ac:dyDescent="0.2">
      <c r="A44" s="95"/>
      <c r="B44" s="5" t="s">
        <v>482</v>
      </c>
      <c r="C44" s="609">
        <f>CeilingI!C5</f>
        <v>0</v>
      </c>
      <c r="D44" s="146"/>
      <c r="E44" s="71">
        <f>CeilingI!V5</f>
        <v>0</v>
      </c>
      <c r="F44" s="71">
        <v>1</v>
      </c>
      <c r="G44" s="419">
        <f>(E44*F44)/COS(D44*3.14/180)</f>
        <v>0</v>
      </c>
      <c r="H44" s="422"/>
      <c r="I44" s="419">
        <f>G44-H44</f>
        <v>0</v>
      </c>
      <c r="J44" s="88"/>
      <c r="K44" s="570" t="str">
        <f>CeilingI!AC5</f>
        <v/>
      </c>
      <c r="L44" s="71">
        <f>'Form N1'!$P$3</f>
        <v>40</v>
      </c>
      <c r="M44" s="146" t="str">
        <f>CeilingI!AH5</f>
        <v/>
      </c>
      <c r="N44" s="71" t="str">
        <f>IF(C44=0,"",R44)</f>
        <v/>
      </c>
      <c r="O44" s="128">
        <f>IF(C44=0,0,K44*L44)</f>
        <v>0</v>
      </c>
      <c r="P44" s="128">
        <f>IF(C44=0,0,K44*N44)</f>
        <v>0</v>
      </c>
      <c r="Q44" s="55">
        <f>IF('Form N1'!$P$4&lt;0,0,'Wrk D'!P44)</f>
        <v>0</v>
      </c>
      <c r="R44" s="718" t="e">
        <f>X44</f>
        <v>#VALUE!</v>
      </c>
      <c r="S44" s="71" t="str">
        <f>CeilingI!AF5</f>
        <v/>
      </c>
      <c r="T44" s="71"/>
      <c r="U44" s="121" t="str">
        <f>IF(CeilingI!AN5=16,1,CeilingI!AK5)</f>
        <v/>
      </c>
      <c r="V44" s="1015" t="e">
        <f>Z44</f>
        <v>#N/A</v>
      </c>
      <c r="W44" s="1015">
        <f>$W$18</f>
        <v>-5</v>
      </c>
      <c r="X44" s="120" t="e">
        <f>(S44+T44)*U44+V44+W44</f>
        <v>#VALUE!</v>
      </c>
      <c r="Z44" s="55" t="e">
        <f>VLOOKUP(CeilingI!AN5,'Wrk D'!$Z$14:$AA$21,2,FALSE)</f>
        <v>#N/A</v>
      </c>
    </row>
    <row r="45" spans="1:27" ht="11.45" customHeight="1" x14ac:dyDescent="0.2">
      <c r="B45" s="5" t="s">
        <v>483</v>
      </c>
      <c r="C45" s="609">
        <f>CeilingI!C6</f>
        <v>0</v>
      </c>
      <c r="D45" s="88"/>
      <c r="E45" s="71">
        <f>CeilingI!V6</f>
        <v>0</v>
      </c>
      <c r="F45" s="71">
        <v>1</v>
      </c>
      <c r="G45" s="419">
        <f>(E45*F45)/COS(D45*3.14/180)</f>
        <v>0</v>
      </c>
      <c r="H45" s="422"/>
      <c r="I45" s="419">
        <f>G45-H45</f>
        <v>0</v>
      </c>
      <c r="J45" s="88"/>
      <c r="K45" s="570" t="str">
        <f>CeilingI!AC6</f>
        <v/>
      </c>
      <c r="L45" s="71">
        <f>'Form N1'!$P$3</f>
        <v>40</v>
      </c>
      <c r="M45" s="146" t="str">
        <f>CeilingI!AH6</f>
        <v/>
      </c>
      <c r="N45" s="71" t="str">
        <f>IF(C45=0,"",R45)</f>
        <v/>
      </c>
      <c r="O45" s="128">
        <f>IF(C45=0,0,K45*L45)</f>
        <v>0</v>
      </c>
      <c r="P45" s="128">
        <f>IF(C45=0,0,K45*N45)</f>
        <v>0</v>
      </c>
      <c r="Q45" s="55">
        <f>IF('Form N1'!$P$4&lt;0,0,'Wrk D'!P45)</f>
        <v>0</v>
      </c>
      <c r="R45" s="718" t="e">
        <f>X45</f>
        <v>#VALUE!</v>
      </c>
      <c r="S45" s="71" t="str">
        <f>CeilingI!AF6</f>
        <v/>
      </c>
      <c r="T45" s="71"/>
      <c r="U45" s="121" t="str">
        <f>IF(CeilingI!AN6=16,1,CeilingI!AK6)</f>
        <v/>
      </c>
      <c r="V45" s="1015" t="e">
        <f>Z45</f>
        <v>#N/A</v>
      </c>
      <c r="W45" s="1015">
        <f>$W$18</f>
        <v>-5</v>
      </c>
      <c r="X45" s="120" t="e">
        <f>(S45+T45)*U45+V45+W45</f>
        <v>#VALUE!</v>
      </c>
      <c r="Z45" s="55" t="e">
        <f>VLOOKUP(CeilingI!AN6,'Wrk D'!$Z$14:$AA$21,2,FALSE)</f>
        <v>#N/A</v>
      </c>
    </row>
    <row r="46" spans="1:27" ht="11.45" customHeight="1" x14ac:dyDescent="0.2">
      <c r="B46" s="95"/>
      <c r="C46" s="95"/>
      <c r="D46" s="95"/>
      <c r="E46" s="95"/>
      <c r="F46" s="95"/>
      <c r="G46" s="95"/>
      <c r="H46" s="95"/>
      <c r="I46" s="95"/>
      <c r="J46" s="95"/>
      <c r="K46" s="95"/>
      <c r="L46" s="95"/>
      <c r="M46" s="95"/>
      <c r="N46" s="95"/>
      <c r="O46" s="95"/>
      <c r="P46" s="95"/>
      <c r="S46" s="55"/>
      <c r="T46" s="55"/>
      <c r="U46" s="55"/>
      <c r="V46" s="55"/>
    </row>
    <row r="47" spans="1:27" ht="11.45" customHeight="1" x14ac:dyDescent="0.2">
      <c r="B47" s="112" t="s">
        <v>3738</v>
      </c>
      <c r="C47" s="503"/>
      <c r="D47" s="503"/>
      <c r="E47" s="503"/>
      <c r="F47" s="503"/>
      <c r="G47" s="503"/>
      <c r="H47" s="503"/>
      <c r="I47" s="503"/>
      <c r="J47" s="503"/>
      <c r="K47" s="147" t="s">
        <v>4122</v>
      </c>
      <c r="L47" s="503"/>
      <c r="M47" s="503"/>
      <c r="N47" s="503"/>
      <c r="O47" s="592"/>
      <c r="P47" s="593"/>
      <c r="S47" s="55"/>
      <c r="T47" s="55"/>
      <c r="U47" s="55"/>
      <c r="V47" s="55"/>
    </row>
    <row r="48" spans="1:27" ht="11.45" customHeight="1" x14ac:dyDescent="0.2">
      <c r="B48" s="582" t="s">
        <v>2811</v>
      </c>
      <c r="C48" s="584"/>
      <c r="D48" s="583"/>
      <c r="E48" s="583"/>
      <c r="F48" s="584"/>
      <c r="G48" s="584" t="s">
        <v>3113</v>
      </c>
      <c r="H48" s="583"/>
      <c r="I48" s="583"/>
      <c r="J48" s="583"/>
      <c r="K48" s="583"/>
      <c r="L48" s="606"/>
      <c r="M48" s="95"/>
      <c r="N48" s="585"/>
      <c r="O48" s="594"/>
      <c r="P48" s="595"/>
      <c r="S48" s="55"/>
      <c r="T48" s="55"/>
      <c r="U48" s="55"/>
      <c r="V48" s="55"/>
    </row>
    <row r="49" spans="2:26" ht="11.45" customHeight="1" x14ac:dyDescent="0.2">
      <c r="B49" s="1382" t="s">
        <v>1104</v>
      </c>
      <c r="C49" s="1383"/>
      <c r="D49" s="1384"/>
      <c r="E49" s="56" t="s">
        <v>1302</v>
      </c>
      <c r="F49" s="309" t="s">
        <v>1302</v>
      </c>
      <c r="G49" s="309" t="s">
        <v>3947</v>
      </c>
      <c r="H49" s="723" t="s">
        <v>8</v>
      </c>
      <c r="I49" s="309" t="s">
        <v>2808</v>
      </c>
      <c r="J49" s="56" t="s">
        <v>3945</v>
      </c>
      <c r="K49" s="309" t="s">
        <v>3497</v>
      </c>
      <c r="L49" s="309" t="s">
        <v>1080</v>
      </c>
      <c r="M49" s="309" t="s">
        <v>2838</v>
      </c>
      <c r="N49" s="753" t="s">
        <v>2746</v>
      </c>
      <c r="O49" s="309" t="s">
        <v>3983</v>
      </c>
      <c r="P49" s="309" t="s">
        <v>3984</v>
      </c>
      <c r="R49" s="715" t="s">
        <v>3494</v>
      </c>
      <c r="S49" s="127" t="s">
        <v>936</v>
      </c>
      <c r="T49" s="127" t="s">
        <v>2574</v>
      </c>
      <c r="U49" s="56" t="s">
        <v>3493</v>
      </c>
      <c r="V49" s="56" t="s">
        <v>938</v>
      </c>
      <c r="W49" s="56" t="s">
        <v>608</v>
      </c>
      <c r="X49" s="287" t="s">
        <v>4167</v>
      </c>
    </row>
    <row r="50" spans="2:26" ht="11.45" customHeight="1" x14ac:dyDescent="0.2">
      <c r="B50" s="1385"/>
      <c r="C50" s="1388"/>
      <c r="D50" s="1387"/>
      <c r="E50" s="106" t="s">
        <v>1178</v>
      </c>
      <c r="F50" s="106" t="s">
        <v>1029</v>
      </c>
      <c r="G50" s="106" t="s">
        <v>948</v>
      </c>
      <c r="H50" s="64" t="s">
        <v>1060</v>
      </c>
      <c r="I50" s="106" t="s">
        <v>2809</v>
      </c>
      <c r="J50" s="106" t="s">
        <v>4163</v>
      </c>
      <c r="K50" s="106" t="s">
        <v>2810</v>
      </c>
      <c r="L50" s="106" t="s">
        <v>1300</v>
      </c>
      <c r="M50" s="106" t="s">
        <v>489</v>
      </c>
      <c r="N50" s="754" t="s">
        <v>3500</v>
      </c>
      <c r="O50" s="106" t="s">
        <v>1175</v>
      </c>
      <c r="P50" s="106" t="s">
        <v>1175</v>
      </c>
      <c r="R50" s="716" t="s">
        <v>943</v>
      </c>
      <c r="S50" s="103" t="s">
        <v>3500</v>
      </c>
      <c r="T50" s="106" t="s">
        <v>1097</v>
      </c>
      <c r="U50" s="106" t="s">
        <v>1097</v>
      </c>
      <c r="V50" s="106" t="s">
        <v>1097</v>
      </c>
      <c r="W50" s="106" t="s">
        <v>3477</v>
      </c>
      <c r="X50" s="106" t="s">
        <v>3500</v>
      </c>
    </row>
    <row r="51" spans="2:26" ht="11.45" customHeight="1" x14ac:dyDescent="0.2">
      <c r="B51" s="1385"/>
      <c r="C51" s="1388"/>
      <c r="D51" s="1387"/>
      <c r="E51" s="106" t="s">
        <v>1301</v>
      </c>
      <c r="F51" s="106" t="s">
        <v>1301</v>
      </c>
      <c r="G51" s="106" t="s">
        <v>2806</v>
      </c>
      <c r="H51" s="64" t="s">
        <v>9</v>
      </c>
      <c r="I51" s="106" t="s">
        <v>1301</v>
      </c>
      <c r="J51" s="106" t="s">
        <v>1059</v>
      </c>
      <c r="K51" s="106" t="s">
        <v>4164</v>
      </c>
      <c r="L51" s="106" t="s">
        <v>4166</v>
      </c>
      <c r="M51" s="106" t="s">
        <v>1106</v>
      </c>
      <c r="N51" s="755" t="s">
        <v>1105</v>
      </c>
      <c r="O51" s="106"/>
      <c r="P51" s="106"/>
      <c r="R51" s="717" t="s">
        <v>3500</v>
      </c>
      <c r="S51" s="11" t="s">
        <v>4165</v>
      </c>
      <c r="T51" s="11" t="s">
        <v>1297</v>
      </c>
      <c r="U51" s="11" t="s">
        <v>59</v>
      </c>
      <c r="V51" s="11" t="s">
        <v>937</v>
      </c>
      <c r="W51" s="11" t="s">
        <v>1097</v>
      </c>
      <c r="X51" s="119"/>
    </row>
    <row r="52" spans="2:26" ht="11.45" customHeight="1" x14ac:dyDescent="0.2">
      <c r="B52" s="720"/>
      <c r="C52" s="721"/>
      <c r="D52" s="722"/>
      <c r="E52" s="11"/>
      <c r="F52" s="11"/>
      <c r="G52" s="11"/>
      <c r="H52" s="77" t="s">
        <v>10</v>
      </c>
      <c r="I52" s="11"/>
      <c r="J52" s="11" t="s">
        <v>1180</v>
      </c>
      <c r="K52" s="11" t="s">
        <v>1106</v>
      </c>
      <c r="L52" s="11"/>
      <c r="M52" s="11"/>
      <c r="N52" s="756" t="s">
        <v>4169</v>
      </c>
      <c r="O52" s="11"/>
      <c r="P52" s="11"/>
      <c r="R52" s="1334" t="s">
        <v>3739</v>
      </c>
      <c r="S52" s="1335"/>
      <c r="T52" s="1335"/>
      <c r="U52" s="1335"/>
      <c r="V52" s="1335"/>
      <c r="W52" s="1335"/>
      <c r="X52" s="1336"/>
    </row>
    <row r="53" spans="2:26" ht="11.45" customHeight="1" x14ac:dyDescent="0.2">
      <c r="B53" s="114"/>
      <c r="C53" s="587"/>
      <c r="D53" s="327"/>
      <c r="E53" s="327"/>
      <c r="F53" s="327"/>
      <c r="G53" s="327"/>
      <c r="H53" s="724" t="s">
        <v>6</v>
      </c>
      <c r="I53" s="724" t="s">
        <v>7</v>
      </c>
      <c r="K53" s="602" t="str">
        <f>K42</f>
        <v>HTD =</v>
      </c>
      <c r="L53" s="603">
        <f>L42</f>
        <v>40</v>
      </c>
      <c r="M53" s="598"/>
      <c r="N53" s="328"/>
      <c r="O53" s="328"/>
      <c r="P53" s="605"/>
      <c r="R53" s="1334" t="s">
        <v>3508</v>
      </c>
      <c r="S53" s="1335"/>
      <c r="T53" s="1335"/>
      <c r="U53" s="1335"/>
      <c r="V53" s="1335"/>
      <c r="W53" s="1335"/>
      <c r="X53" s="1336"/>
    </row>
    <row r="54" spans="2:26" ht="11.45" customHeight="1" x14ac:dyDescent="0.2">
      <c r="B54" s="13" t="s">
        <v>481</v>
      </c>
      <c r="C54" s="588">
        <f>FloorI!C4</f>
        <v>0</v>
      </c>
      <c r="D54" s="329"/>
      <c r="E54" s="71">
        <v>1</v>
      </c>
      <c r="F54" s="71">
        <f>FloorI!V4</f>
        <v>0</v>
      </c>
      <c r="G54" s="419">
        <f>E54*F54</f>
        <v>0</v>
      </c>
      <c r="H54" s="88"/>
      <c r="I54" s="422"/>
      <c r="J54" s="122">
        <f>G54</f>
        <v>0</v>
      </c>
      <c r="K54" s="570" t="str">
        <f>FloorI!AB4</f>
        <v/>
      </c>
      <c r="L54" s="71" t="str">
        <f>FloorI!AE4</f>
        <v/>
      </c>
      <c r="M54" s="1254"/>
      <c r="N54" s="1253" t="e">
        <f t="shared" ref="N54:N59" si="8">R54</f>
        <v>#VALUE!</v>
      </c>
      <c r="O54" s="128">
        <f t="shared" ref="O54:O59" si="9">IF(C54=0,0,K54*L54)</f>
        <v>0</v>
      </c>
      <c r="P54" s="128">
        <f t="shared" ref="P54:P59" si="10">IF(C54=0,0,K54*N54)</f>
        <v>0</v>
      </c>
      <c r="Q54" s="55">
        <f>IF('Form N1'!$P$4&lt;0,0,'Wrk D'!P54)</f>
        <v>0</v>
      </c>
      <c r="R54" s="718" t="e">
        <f t="shared" ref="R54:R59" si="11">X54</f>
        <v>#VALUE!</v>
      </c>
      <c r="S54" s="295" t="str">
        <f>FloorI!AH4</f>
        <v/>
      </c>
      <c r="T54" s="1397"/>
      <c r="U54" s="1397"/>
      <c r="V54" s="1011">
        <f t="shared" ref="V54:V59" si="12">Z54</f>
        <v>0</v>
      </c>
      <c r="W54" s="1397"/>
      <c r="X54" s="120" t="e">
        <f t="shared" ref="X54:X59" si="13">S54+V54</f>
        <v>#VALUE!</v>
      </c>
      <c r="Z54" s="55">
        <f>VLOOKUP(FloorI!AN4,'Wrk D'!$Z$20:$AA$22,2,TRUE)</f>
        <v>0</v>
      </c>
    </row>
    <row r="55" spans="2:26" ht="11.45" customHeight="1" x14ac:dyDescent="0.2">
      <c r="B55" s="13" t="s">
        <v>482</v>
      </c>
      <c r="C55" s="588">
        <f>FloorI!C5</f>
        <v>0</v>
      </c>
      <c r="D55" s="329"/>
      <c r="E55" s="71">
        <v>1</v>
      </c>
      <c r="F55" s="71">
        <f>FloorI!V5</f>
        <v>0</v>
      </c>
      <c r="G55" s="419">
        <f>E55*F55</f>
        <v>0</v>
      </c>
      <c r="H55" s="88"/>
      <c r="I55" s="71"/>
      <c r="J55" s="122">
        <f>G55</f>
        <v>0</v>
      </c>
      <c r="K55" s="570" t="str">
        <f>FloorI!AB5</f>
        <v/>
      </c>
      <c r="L55" s="71" t="str">
        <f>FloorI!AE5</f>
        <v/>
      </c>
      <c r="M55" s="1254"/>
      <c r="N55" s="1253" t="e">
        <f t="shared" si="8"/>
        <v>#VALUE!</v>
      </c>
      <c r="O55" s="128">
        <f t="shared" si="9"/>
        <v>0</v>
      </c>
      <c r="P55" s="128">
        <f t="shared" si="10"/>
        <v>0</v>
      </c>
      <c r="Q55" s="55">
        <f>IF('Form N1'!$P$4&lt;0,0,'Wrk D'!P55)</f>
        <v>0</v>
      </c>
      <c r="R55" s="718" t="e">
        <f t="shared" si="11"/>
        <v>#VALUE!</v>
      </c>
      <c r="S55" s="295" t="str">
        <f>FloorI!AH5</f>
        <v/>
      </c>
      <c r="T55" s="1398"/>
      <c r="U55" s="1398"/>
      <c r="V55" s="1011">
        <f t="shared" si="12"/>
        <v>0</v>
      </c>
      <c r="W55" s="1398"/>
      <c r="X55" s="120" t="e">
        <f t="shared" si="13"/>
        <v>#VALUE!</v>
      </c>
      <c r="Z55" s="55">
        <f>VLOOKUP(FloorI!AN5,'Wrk D'!$Z$20:$AA$22,2,TRUE)</f>
        <v>0</v>
      </c>
    </row>
    <row r="56" spans="2:26" ht="11.45" customHeight="1" x14ac:dyDescent="0.2">
      <c r="B56" s="13" t="s">
        <v>483</v>
      </c>
      <c r="C56" s="588">
        <f>FloorI!C7</f>
        <v>0</v>
      </c>
      <c r="D56" s="329"/>
      <c r="E56" s="71">
        <v>1</v>
      </c>
      <c r="F56" s="71">
        <f>FloorI!V7</f>
        <v>0</v>
      </c>
      <c r="G56" s="419">
        <f>E56*F56</f>
        <v>0</v>
      </c>
      <c r="H56" s="88"/>
      <c r="I56" s="71"/>
      <c r="J56" s="122">
        <f>G56</f>
        <v>0</v>
      </c>
      <c r="K56" s="570" t="str">
        <f>FloorI!AB7</f>
        <v/>
      </c>
      <c r="L56" s="71">
        <f>'Form N1'!$P$3</f>
        <v>40</v>
      </c>
      <c r="M56" s="1254"/>
      <c r="N56" s="1253" t="e">
        <f t="shared" si="8"/>
        <v>#VALUE!</v>
      </c>
      <c r="O56" s="128">
        <f t="shared" si="9"/>
        <v>0</v>
      </c>
      <c r="P56" s="128">
        <f t="shared" si="10"/>
        <v>0</v>
      </c>
      <c r="Q56" s="55">
        <f>IF('Form N1'!$P$4&lt;0,0,'Wrk D'!P56)</f>
        <v>0</v>
      </c>
      <c r="R56" s="718" t="e">
        <f t="shared" si="11"/>
        <v>#VALUE!</v>
      </c>
      <c r="S56" s="295" t="str">
        <f>FloorI!AH7</f>
        <v/>
      </c>
      <c r="T56" s="1399"/>
      <c r="U56" s="1399"/>
      <c r="V56" s="1011">
        <f t="shared" si="12"/>
        <v>-6.9000000000000057</v>
      </c>
      <c r="W56" s="1399"/>
      <c r="X56" s="120" t="e">
        <f t="shared" si="13"/>
        <v>#VALUE!</v>
      </c>
      <c r="Z56" s="55">
        <f>VLOOKUP(FloorI!AN7,'Wrk D'!$Z$22:$AA$22,2,TRUE)</f>
        <v>-6.9000000000000057</v>
      </c>
    </row>
    <row r="57" spans="2:26" ht="11.45" customHeight="1" x14ac:dyDescent="0.2">
      <c r="B57" s="13" t="s">
        <v>484</v>
      </c>
      <c r="C57" s="588">
        <f>FloorI!C9</f>
        <v>0</v>
      </c>
      <c r="D57" s="329"/>
      <c r="E57" s="71">
        <v>1</v>
      </c>
      <c r="F57" s="71">
        <f>FloorI!V9</f>
        <v>0</v>
      </c>
      <c r="G57" s="419">
        <f>E57*F57</f>
        <v>0</v>
      </c>
      <c r="H57" s="1251"/>
      <c r="I57" s="1250"/>
      <c r="J57" s="122">
        <f>G57</f>
        <v>0</v>
      </c>
      <c r="K57" s="570" t="str">
        <f>FloorI!AB9</f>
        <v/>
      </c>
      <c r="L57" s="71">
        <f>'Form N1'!$P$3</f>
        <v>40</v>
      </c>
      <c r="M57" s="146" t="str">
        <f>FloorI!AK9</f>
        <v/>
      </c>
      <c r="N57" s="1253" t="e">
        <f t="shared" si="8"/>
        <v>#VALUE!</v>
      </c>
      <c r="O57" s="128">
        <f t="shared" si="9"/>
        <v>0</v>
      </c>
      <c r="P57" s="128">
        <f t="shared" si="10"/>
        <v>0</v>
      </c>
      <c r="Q57" s="55">
        <f>IF('Form N1'!$P$4&lt;0,0,'Wrk D'!P57)</f>
        <v>0</v>
      </c>
      <c r="R57" s="718" t="e">
        <f t="shared" si="11"/>
        <v>#VALUE!</v>
      </c>
      <c r="S57" s="295" t="str">
        <f>FloorI!AH9</f>
        <v/>
      </c>
      <c r="T57" s="1255"/>
      <c r="U57" s="1255"/>
      <c r="V57" s="1011">
        <f t="shared" si="12"/>
        <v>-6.9000000000000057</v>
      </c>
      <c r="W57" s="1255"/>
      <c r="X57" s="120" t="e">
        <f t="shared" si="13"/>
        <v>#VALUE!</v>
      </c>
      <c r="Z57" s="55">
        <f>VLOOKUP(FloorI!AN9,'Wrk D'!$Z$22:$AA$22,2,TRUE)</f>
        <v>-6.9000000000000057</v>
      </c>
    </row>
    <row r="58" spans="2:26" s="597" customFormat="1" ht="11.45" customHeight="1" x14ac:dyDescent="0.2">
      <c r="B58" s="13" t="s">
        <v>485</v>
      </c>
      <c r="C58" s="588">
        <f>FloorI!C11</f>
        <v>0</v>
      </c>
      <c r="D58" s="329"/>
      <c r="E58" s="71">
        <v>1</v>
      </c>
      <c r="F58" s="71">
        <f>FloorI!V11</f>
        <v>0</v>
      </c>
      <c r="G58" s="419">
        <f>E58*F58</f>
        <v>0</v>
      </c>
      <c r="H58" s="1251"/>
      <c r="I58" s="1250"/>
      <c r="J58" s="122">
        <f>G58</f>
        <v>0</v>
      </c>
      <c r="K58" s="570" t="str">
        <f>FloorI!AB11</f>
        <v/>
      </c>
      <c r="L58" s="71">
        <f>'Form N1'!$P$3</f>
        <v>40</v>
      </c>
      <c r="M58" s="1254"/>
      <c r="N58" s="1253">
        <f t="shared" si="8"/>
        <v>0</v>
      </c>
      <c r="O58" s="128">
        <f t="shared" si="9"/>
        <v>0</v>
      </c>
      <c r="P58" s="128">
        <f t="shared" si="10"/>
        <v>0</v>
      </c>
      <c r="Q58" s="55">
        <f>IF('Form N1'!$P$4&lt;0,0,'Wrk D'!P58)</f>
        <v>0</v>
      </c>
      <c r="R58" s="718">
        <f t="shared" si="11"/>
        <v>0</v>
      </c>
      <c r="S58" s="295">
        <f>FloorI!AH11</f>
        <v>0</v>
      </c>
      <c r="T58" s="1255"/>
      <c r="U58" s="1255"/>
      <c r="V58" s="1011">
        <f t="shared" si="12"/>
        <v>0</v>
      </c>
      <c r="W58" s="1255"/>
      <c r="X58" s="120">
        <f t="shared" si="13"/>
        <v>0</v>
      </c>
      <c r="Y58" s="55"/>
      <c r="Z58" s="55"/>
    </row>
    <row r="59" spans="2:26" s="597" customFormat="1" ht="11.45" customHeight="1" x14ac:dyDescent="0.2">
      <c r="B59" s="13" t="s">
        <v>486</v>
      </c>
      <c r="C59" s="588">
        <f>FloorI!C13</f>
        <v>0</v>
      </c>
      <c r="D59" s="329"/>
      <c r="E59" s="71">
        <v>1</v>
      </c>
      <c r="H59" s="1251"/>
      <c r="I59" s="71">
        <f>FloorI!V13</f>
        <v>0</v>
      </c>
      <c r="J59" s="419">
        <f>E59*I59</f>
        <v>0</v>
      </c>
      <c r="K59" s="570" t="str">
        <f>FloorI!AB13</f>
        <v/>
      </c>
      <c r="L59" s="71">
        <f>'Form N1'!$P$3</f>
        <v>40</v>
      </c>
      <c r="M59" s="1254"/>
      <c r="N59" s="1253">
        <f t="shared" si="8"/>
        <v>0</v>
      </c>
      <c r="O59" s="128">
        <f t="shared" si="9"/>
        <v>0</v>
      </c>
      <c r="P59" s="128">
        <f t="shared" si="10"/>
        <v>0</v>
      </c>
      <c r="Q59" s="55">
        <f>IF('Form N1'!$P$4&lt;0,0,'Wrk D'!P59)</f>
        <v>0</v>
      </c>
      <c r="R59" s="718">
        <f t="shared" si="11"/>
        <v>0</v>
      </c>
      <c r="S59" s="295">
        <f>FloorI!AH13</f>
        <v>0</v>
      </c>
      <c r="T59" s="1255"/>
      <c r="U59" s="1255"/>
      <c r="V59" s="1011">
        <f t="shared" si="12"/>
        <v>0</v>
      </c>
      <c r="W59" s="1255"/>
      <c r="X59" s="120">
        <f t="shared" si="13"/>
        <v>0</v>
      </c>
      <c r="Y59" s="55"/>
      <c r="Z59" s="55"/>
    </row>
    <row r="60" spans="2:26" ht="11.45" customHeight="1" x14ac:dyDescent="0.2">
      <c r="B60" s="96"/>
      <c r="C60" s="597"/>
      <c r="D60" s="597"/>
      <c r="E60" s="597"/>
      <c r="F60" s="597"/>
      <c r="G60" s="1023">
        <f>MAX((G43+G44+G45),(G54+G55+G56))</f>
        <v>0</v>
      </c>
      <c r="H60" s="597"/>
      <c r="I60" s="597"/>
      <c r="J60" s="597"/>
      <c r="K60" s="597"/>
      <c r="L60" s="597"/>
      <c r="M60" s="597"/>
      <c r="N60" s="597"/>
      <c r="O60" s="597"/>
      <c r="P60" s="597"/>
      <c r="R60" s="1334" t="s">
        <v>4125</v>
      </c>
      <c r="S60" s="1335"/>
      <c r="T60" s="1335"/>
      <c r="U60" s="1335"/>
      <c r="V60" s="1335"/>
      <c r="W60" s="1335"/>
      <c r="X60" s="1336"/>
    </row>
    <row r="61" spans="2:26" ht="11.45" customHeight="1" x14ac:dyDescent="0.2">
      <c r="B61" s="59" t="s">
        <v>3112</v>
      </c>
      <c r="C61" s="606"/>
      <c r="D61" s="606"/>
      <c r="E61" s="606"/>
      <c r="F61" s="606"/>
      <c r="G61" s="606"/>
      <c r="H61" s="606"/>
      <c r="I61" s="606"/>
      <c r="J61" s="597"/>
      <c r="K61" s="606"/>
      <c r="L61" s="606"/>
      <c r="M61" s="606"/>
      <c r="N61" s="606"/>
      <c r="O61" s="606"/>
      <c r="P61" s="606"/>
      <c r="R61" s="1334" t="s">
        <v>982</v>
      </c>
      <c r="S61" s="1335"/>
      <c r="T61" s="1335"/>
      <c r="U61" s="1335"/>
      <c r="V61" s="1335"/>
      <c r="W61" s="1335"/>
      <c r="X61" s="1336"/>
    </row>
    <row r="62" spans="2:26" ht="11.45" customHeight="1" x14ac:dyDescent="0.2">
      <c r="B62" s="96" t="s">
        <v>2452</v>
      </c>
      <c r="R62" s="1334" t="s">
        <v>4146</v>
      </c>
      <c r="S62" s="1335"/>
      <c r="T62" s="1335"/>
      <c r="U62" s="1335"/>
      <c r="V62" s="1335"/>
      <c r="W62" s="1335"/>
      <c r="X62" s="1336"/>
    </row>
    <row r="63" spans="2:26" ht="11.45" customHeight="1" x14ac:dyDescent="0.2">
      <c r="B63" s="96" t="s">
        <v>4162</v>
      </c>
      <c r="C63" s="443"/>
      <c r="D63" s="442"/>
      <c r="E63" s="442"/>
      <c r="F63" s="443"/>
      <c r="G63" s="443"/>
      <c r="H63" s="442"/>
      <c r="I63" s="442"/>
      <c r="J63" s="442"/>
      <c r="K63" s="442"/>
      <c r="L63" s="442"/>
      <c r="M63" s="442"/>
      <c r="N63" s="442"/>
      <c r="O63" s="442"/>
      <c r="P63" s="423"/>
      <c r="R63" s="1334" t="s">
        <v>4147</v>
      </c>
      <c r="S63" s="1335"/>
      <c r="T63" s="1335"/>
      <c r="U63" s="1335"/>
      <c r="V63" s="1335"/>
      <c r="W63" s="1335"/>
      <c r="X63" s="1336"/>
    </row>
    <row r="64" spans="2:26" ht="11.45" customHeight="1" x14ac:dyDescent="0.2">
      <c r="B64" s="96" t="s">
        <v>929</v>
      </c>
      <c r="C64" s="589" t="s">
        <v>2104</v>
      </c>
      <c r="D64" s="442"/>
      <c r="E64" s="442"/>
      <c r="F64" s="443"/>
      <c r="G64" s="443"/>
      <c r="H64" s="442"/>
      <c r="I64" s="442"/>
      <c r="J64" s="442"/>
      <c r="K64" s="442"/>
      <c r="L64" s="442"/>
      <c r="M64" s="442"/>
      <c r="N64" s="442"/>
      <c r="O64" s="442"/>
      <c r="P64" s="423"/>
    </row>
    <row r="65" spans="2:19" ht="11.45" customHeight="1" x14ac:dyDescent="0.2">
      <c r="C65" s="589"/>
      <c r="D65" s="442"/>
      <c r="E65" s="442"/>
      <c r="F65" s="443"/>
      <c r="G65" s="443"/>
      <c r="H65" s="442"/>
      <c r="I65" s="442"/>
      <c r="J65" s="442"/>
      <c r="K65" s="442"/>
      <c r="L65" s="442"/>
      <c r="M65" s="442"/>
      <c r="N65" s="442"/>
      <c r="O65" s="442"/>
      <c r="P65" s="423"/>
    </row>
    <row r="66" spans="2:19" ht="11.45" customHeight="1" x14ac:dyDescent="0.2">
      <c r="B66" s="725" t="s">
        <v>2105</v>
      </c>
      <c r="C66" s="589"/>
      <c r="D66" s="442"/>
      <c r="E66" s="442"/>
      <c r="F66" s="443"/>
      <c r="G66" s="443"/>
      <c r="H66" s="442"/>
      <c r="I66" s="442"/>
      <c r="J66" s="442"/>
      <c r="K66" s="442"/>
      <c r="L66" s="442"/>
      <c r="M66" s="442"/>
      <c r="N66" s="442"/>
      <c r="O66" s="442"/>
      <c r="P66" s="423"/>
    </row>
    <row r="67" spans="2:19" ht="11.45" customHeight="1" x14ac:dyDescent="0.2">
      <c r="C67" s="589"/>
      <c r="D67" s="442"/>
      <c r="E67" s="442"/>
      <c r="F67" s="443"/>
      <c r="G67" s="443"/>
      <c r="H67" s="442"/>
      <c r="I67" s="442"/>
      <c r="J67" s="442"/>
      <c r="K67" s="442"/>
      <c r="L67" s="442"/>
      <c r="M67" s="442"/>
      <c r="N67" s="442"/>
      <c r="O67" s="442"/>
      <c r="P67" s="423"/>
    </row>
    <row r="68" spans="2:19" ht="11.45" customHeight="1" x14ac:dyDescent="0.2">
      <c r="C68" s="729" t="s">
        <v>991</v>
      </c>
      <c r="D68" s="730"/>
      <c r="E68" s="436"/>
      <c r="F68" s="731"/>
      <c r="G68" s="1320" t="s">
        <v>992</v>
      </c>
      <c r="H68" s="1321"/>
      <c r="I68" s="424" t="s">
        <v>3983</v>
      </c>
      <c r="J68" s="424" t="s">
        <v>3984</v>
      </c>
      <c r="K68" s="425" t="s">
        <v>3741</v>
      </c>
      <c r="L68" s="425" t="s">
        <v>3741</v>
      </c>
      <c r="M68" s="425" t="s">
        <v>3741</v>
      </c>
      <c r="N68" s="425" t="s">
        <v>3945</v>
      </c>
      <c r="O68" s="425" t="s">
        <v>3945</v>
      </c>
      <c r="P68" s="426" t="s">
        <v>948</v>
      </c>
    </row>
    <row r="69" spans="2:19" ht="11.45" customHeight="1" x14ac:dyDescent="0.2">
      <c r="C69" s="728" t="s">
        <v>993</v>
      </c>
      <c r="D69" s="733" t="s">
        <v>2106</v>
      </c>
      <c r="E69" s="726"/>
      <c r="F69" s="735"/>
      <c r="G69" s="1318" t="s">
        <v>999</v>
      </c>
      <c r="H69" s="1319"/>
      <c r="I69" s="428" t="s">
        <v>993</v>
      </c>
      <c r="J69" s="428" t="s">
        <v>993</v>
      </c>
      <c r="K69" s="429" t="s">
        <v>3983</v>
      </c>
      <c r="L69" s="429" t="s">
        <v>3984</v>
      </c>
      <c r="M69" s="429" t="s">
        <v>1055</v>
      </c>
      <c r="N69" s="429" t="s">
        <v>3983</v>
      </c>
      <c r="O69" s="429" t="s">
        <v>3984</v>
      </c>
      <c r="P69" s="430" t="s">
        <v>1465</v>
      </c>
    </row>
    <row r="70" spans="2:19" ht="11.45" customHeight="1" x14ac:dyDescent="0.2">
      <c r="C70" s="431" t="s">
        <v>994</v>
      </c>
      <c r="D70" s="734" t="s">
        <v>2109</v>
      </c>
      <c r="E70" s="727"/>
      <c r="F70" s="736"/>
      <c r="G70" s="1322" t="s">
        <v>494</v>
      </c>
      <c r="H70" s="1323"/>
      <c r="I70" s="432" t="s">
        <v>994</v>
      </c>
      <c r="J70" s="432" t="s">
        <v>994</v>
      </c>
      <c r="K70" s="429" t="s">
        <v>3742</v>
      </c>
      <c r="L70" s="429" t="s">
        <v>3742</v>
      </c>
      <c r="M70" s="429" t="s">
        <v>3742</v>
      </c>
      <c r="N70" s="429" t="s">
        <v>2806</v>
      </c>
      <c r="O70" s="429" t="s">
        <v>2806</v>
      </c>
      <c r="P70" s="430" t="s">
        <v>1466</v>
      </c>
    </row>
    <row r="71" spans="2:19" ht="11.45" customHeight="1" x14ac:dyDescent="0.2">
      <c r="C71" s="433">
        <v>1</v>
      </c>
      <c r="D71" s="429" t="s">
        <v>481</v>
      </c>
      <c r="E71" s="1330">
        <f>P71</f>
        <v>0</v>
      </c>
      <c r="F71" s="1331"/>
      <c r="G71" s="1324">
        <v>9</v>
      </c>
      <c r="H71" s="1321"/>
      <c r="I71" s="433">
        <v>1</v>
      </c>
      <c r="J71" s="433">
        <v>1</v>
      </c>
      <c r="K71" s="841">
        <f>G71*N71</f>
        <v>0</v>
      </c>
      <c r="L71" s="841">
        <f>G71*O71</f>
        <v>0</v>
      </c>
      <c r="M71" s="841">
        <f>G71*P71</f>
        <v>0</v>
      </c>
      <c r="N71" s="841">
        <f>P71*(I71=1)</f>
        <v>0</v>
      </c>
      <c r="O71" s="841">
        <f>P71*(J71=1)</f>
        <v>0</v>
      </c>
      <c r="P71" s="655">
        <f>E43*F43</f>
        <v>0</v>
      </c>
    </row>
    <row r="72" spans="2:19" ht="11.45" customHeight="1" x14ac:dyDescent="0.2">
      <c r="C72" s="433"/>
      <c r="D72" s="425" t="s">
        <v>482</v>
      </c>
      <c r="E72" s="1330">
        <f>P72</f>
        <v>0</v>
      </c>
      <c r="F72" s="1331"/>
      <c r="G72" s="1324"/>
      <c r="H72" s="1321"/>
      <c r="I72" s="433"/>
      <c r="J72" s="433"/>
      <c r="K72" s="841">
        <f>G72*N72</f>
        <v>0</v>
      </c>
      <c r="L72" s="841">
        <f>G72*O72</f>
        <v>0</v>
      </c>
      <c r="M72" s="841">
        <f>G72*P72</f>
        <v>0</v>
      </c>
      <c r="N72" s="841">
        <f>P72*(I72=1)</f>
        <v>0</v>
      </c>
      <c r="O72" s="841">
        <f>P72*(J72=1)</f>
        <v>0</v>
      </c>
      <c r="P72" s="655">
        <f>E44*F44</f>
        <v>0</v>
      </c>
      <c r="S72" s="55"/>
    </row>
    <row r="73" spans="2:19" ht="11.45" customHeight="1" x14ac:dyDescent="0.2">
      <c r="C73" s="433"/>
      <c r="D73" s="425" t="s">
        <v>483</v>
      </c>
      <c r="E73" s="1330">
        <f>P73</f>
        <v>0</v>
      </c>
      <c r="F73" s="1331"/>
      <c r="G73" s="1324"/>
      <c r="H73" s="1321"/>
      <c r="I73" s="433"/>
      <c r="J73" s="433"/>
      <c r="K73" s="841">
        <f>G73*N73</f>
        <v>0</v>
      </c>
      <c r="L73" s="841">
        <f>G73*O73</f>
        <v>0</v>
      </c>
      <c r="M73" s="841">
        <f>G73*P73</f>
        <v>0</v>
      </c>
      <c r="N73" s="841">
        <f>P73*(I73=1)</f>
        <v>0</v>
      </c>
      <c r="O73" s="841">
        <f>P73*(J73=1)</f>
        <v>0</v>
      </c>
      <c r="P73" s="655">
        <f>E45*F45</f>
        <v>0</v>
      </c>
      <c r="S73" s="55"/>
    </row>
    <row r="74" spans="2:19" ht="11.45" customHeight="1" x14ac:dyDescent="0.2">
      <c r="C74" s="729" t="s">
        <v>995</v>
      </c>
      <c r="D74" s="436"/>
      <c r="E74" s="436"/>
      <c r="F74" s="732"/>
      <c r="G74" s="1320" t="s">
        <v>992</v>
      </c>
      <c r="H74" s="1321"/>
      <c r="I74" s="424" t="s">
        <v>3983</v>
      </c>
      <c r="J74" s="424" t="s">
        <v>3984</v>
      </c>
      <c r="K74" s="434" t="s">
        <v>3741</v>
      </c>
      <c r="L74" s="434" t="s">
        <v>3741</v>
      </c>
      <c r="M74" s="434" t="s">
        <v>3741</v>
      </c>
      <c r="N74" s="434" t="s">
        <v>3945</v>
      </c>
      <c r="O74" s="434" t="s">
        <v>3945</v>
      </c>
      <c r="P74" s="435" t="s">
        <v>3945</v>
      </c>
      <c r="S74" s="55"/>
    </row>
    <row r="75" spans="2:19" ht="11.45" customHeight="1" x14ac:dyDescent="0.2">
      <c r="C75" s="728" t="s">
        <v>993</v>
      </c>
      <c r="D75" s="733" t="s">
        <v>2107</v>
      </c>
      <c r="E75" s="726"/>
      <c r="F75" s="735"/>
      <c r="G75" s="1318" t="s">
        <v>999</v>
      </c>
      <c r="H75" s="1319"/>
      <c r="I75" s="428" t="s">
        <v>993</v>
      </c>
      <c r="J75" s="428" t="s">
        <v>993</v>
      </c>
      <c r="K75" s="437" t="s">
        <v>3983</v>
      </c>
      <c r="L75" s="429" t="s">
        <v>3984</v>
      </c>
      <c r="M75" s="437" t="s">
        <v>1055</v>
      </c>
      <c r="N75" s="437" t="s">
        <v>3983</v>
      </c>
      <c r="O75" s="437" t="s">
        <v>3984</v>
      </c>
      <c r="P75" s="438" t="s">
        <v>1055</v>
      </c>
      <c r="S75" s="55"/>
    </row>
    <row r="76" spans="2:19" ht="11.45" customHeight="1" x14ac:dyDescent="0.2">
      <c r="C76" s="431" t="s">
        <v>994</v>
      </c>
      <c r="D76" s="734" t="s">
        <v>2109</v>
      </c>
      <c r="E76" s="727"/>
      <c r="F76" s="736"/>
      <c r="G76" s="1322" t="s">
        <v>494</v>
      </c>
      <c r="H76" s="1323"/>
      <c r="I76" s="432" t="s">
        <v>994</v>
      </c>
      <c r="J76" s="432" t="s">
        <v>994</v>
      </c>
      <c r="K76" s="437" t="s">
        <v>3742</v>
      </c>
      <c r="L76" s="437" t="s">
        <v>3742</v>
      </c>
      <c r="M76" s="437" t="s">
        <v>3742</v>
      </c>
      <c r="N76" s="437" t="s">
        <v>2806</v>
      </c>
      <c r="O76" s="437" t="s">
        <v>2806</v>
      </c>
      <c r="P76" s="438" t="s">
        <v>2806</v>
      </c>
      <c r="S76" s="55"/>
    </row>
    <row r="77" spans="2:19" ht="11.45" customHeight="1" x14ac:dyDescent="0.2">
      <c r="C77" s="433"/>
      <c r="D77" s="425" t="s">
        <v>481</v>
      </c>
      <c r="E77" s="1330">
        <f>P77</f>
        <v>0</v>
      </c>
      <c r="F77" s="1331"/>
      <c r="G77" s="1324"/>
      <c r="H77" s="1321"/>
      <c r="I77" s="433"/>
      <c r="J77" s="433"/>
      <c r="K77" s="841">
        <f>G77*N77</f>
        <v>0</v>
      </c>
      <c r="L77" s="841">
        <f>G77*O77</f>
        <v>0</v>
      </c>
      <c r="M77" s="841">
        <f>G77*P77</f>
        <v>0</v>
      </c>
      <c r="N77" s="841">
        <f>P77*(I77=1)</f>
        <v>0</v>
      </c>
      <c r="O77" s="841">
        <f>P77*(J77=1)</f>
        <v>0</v>
      </c>
      <c r="P77" s="655">
        <f>E54*F54</f>
        <v>0</v>
      </c>
      <c r="S77" s="55"/>
    </row>
    <row r="78" spans="2:19" ht="11.45" customHeight="1" x14ac:dyDescent="0.2">
      <c r="C78" s="433"/>
      <c r="D78" s="425" t="s">
        <v>482</v>
      </c>
      <c r="E78" s="1330">
        <f>P78</f>
        <v>0</v>
      </c>
      <c r="F78" s="1331"/>
      <c r="G78" s="1324"/>
      <c r="H78" s="1321"/>
      <c r="I78" s="433"/>
      <c r="J78" s="433"/>
      <c r="K78" s="841">
        <f>G78*N78</f>
        <v>0</v>
      </c>
      <c r="L78" s="841">
        <f>G78*O78</f>
        <v>0</v>
      </c>
      <c r="M78" s="841">
        <f>G78*P78</f>
        <v>0</v>
      </c>
      <c r="N78" s="841">
        <f>P78*(I78=1)</f>
        <v>0</v>
      </c>
      <c r="O78" s="841">
        <f>P78*(J78=1)</f>
        <v>0</v>
      </c>
      <c r="P78" s="655">
        <f>E55*F55</f>
        <v>0</v>
      </c>
      <c r="S78" s="55"/>
    </row>
    <row r="79" spans="2:19" ht="11.45" customHeight="1" x14ac:dyDescent="0.2">
      <c r="C79" s="433"/>
      <c r="D79" s="425" t="s">
        <v>483</v>
      </c>
      <c r="E79" s="1330">
        <f>P79</f>
        <v>0</v>
      </c>
      <c r="F79" s="1331"/>
      <c r="G79" s="1324"/>
      <c r="H79" s="1321"/>
      <c r="I79" s="433"/>
      <c r="J79" s="433"/>
      <c r="K79" s="841">
        <f>G79*N79</f>
        <v>0</v>
      </c>
      <c r="L79" s="841">
        <f>G79*O79</f>
        <v>0</v>
      </c>
      <c r="M79" s="841">
        <f>G79*P79</f>
        <v>0</v>
      </c>
      <c r="N79" s="841">
        <f>P79*(I79=1)</f>
        <v>0</v>
      </c>
      <c r="O79" s="841">
        <f>P79*(J79=1)</f>
        <v>0</v>
      </c>
      <c r="P79" s="655">
        <f>E56*F56</f>
        <v>0</v>
      </c>
      <c r="S79" s="55"/>
    </row>
    <row r="80" spans="2:19" ht="11.45" customHeight="1" x14ac:dyDescent="0.2">
      <c r="C80" s="729" t="s">
        <v>2108</v>
      </c>
      <c r="D80" s="436"/>
      <c r="E80" s="436"/>
      <c r="F80" s="732"/>
      <c r="G80" s="1320" t="s">
        <v>992</v>
      </c>
      <c r="H80" s="1321"/>
      <c r="I80" s="424" t="s">
        <v>996</v>
      </c>
      <c r="J80" s="424" t="s">
        <v>997</v>
      </c>
      <c r="K80" s="434" t="s">
        <v>3741</v>
      </c>
      <c r="L80" s="434" t="s">
        <v>3741</v>
      </c>
      <c r="M80" s="434" t="s">
        <v>3741</v>
      </c>
      <c r="N80" s="434" t="s">
        <v>3945</v>
      </c>
      <c r="O80" s="434" t="s">
        <v>3945</v>
      </c>
      <c r="P80" s="435" t="s">
        <v>3945</v>
      </c>
      <c r="S80" s="55"/>
    </row>
    <row r="81" spans="3:19" ht="11.45" customHeight="1" x14ac:dyDescent="0.2">
      <c r="C81" s="728" t="s">
        <v>993</v>
      </c>
      <c r="D81" s="733" t="s">
        <v>2110</v>
      </c>
      <c r="E81" s="726"/>
      <c r="F81" s="735"/>
      <c r="G81" s="1318" t="s">
        <v>999</v>
      </c>
      <c r="H81" s="1319"/>
      <c r="I81" s="427" t="s">
        <v>3945</v>
      </c>
      <c r="J81" s="427" t="s">
        <v>3945</v>
      </c>
      <c r="K81" s="437" t="s">
        <v>3983</v>
      </c>
      <c r="L81" s="437" t="s">
        <v>3984</v>
      </c>
      <c r="M81" s="437" t="s">
        <v>1055</v>
      </c>
      <c r="N81" s="437" t="s">
        <v>3983</v>
      </c>
      <c r="O81" s="437" t="s">
        <v>3984</v>
      </c>
      <c r="P81" s="438" t="s">
        <v>1055</v>
      </c>
      <c r="S81" s="55"/>
    </row>
    <row r="82" spans="3:19" ht="11.45" customHeight="1" x14ac:dyDescent="0.2">
      <c r="C82" s="431" t="s">
        <v>994</v>
      </c>
      <c r="D82" s="734"/>
      <c r="E82" s="727"/>
      <c r="F82" s="736"/>
      <c r="G82" s="1322" t="s">
        <v>494</v>
      </c>
      <c r="H82" s="1323"/>
      <c r="I82" s="427" t="s">
        <v>2806</v>
      </c>
      <c r="J82" s="427" t="s">
        <v>2806</v>
      </c>
      <c r="K82" s="437" t="s">
        <v>3742</v>
      </c>
      <c r="L82" s="437" t="s">
        <v>3742</v>
      </c>
      <c r="M82" s="437" t="s">
        <v>3742</v>
      </c>
      <c r="N82" s="437" t="s">
        <v>2806</v>
      </c>
      <c r="O82" s="437" t="s">
        <v>2806</v>
      </c>
      <c r="P82" s="438" t="s">
        <v>2806</v>
      </c>
      <c r="S82" s="55"/>
    </row>
    <row r="83" spans="3:19" ht="11.45" customHeight="1" x14ac:dyDescent="0.2">
      <c r="C83" s="433"/>
      <c r="D83" s="425" t="s">
        <v>481</v>
      </c>
      <c r="E83" s="1332"/>
      <c r="F83" s="1333"/>
      <c r="G83" s="1327"/>
      <c r="H83" s="1329"/>
      <c r="I83" s="966"/>
      <c r="J83" s="966"/>
      <c r="K83" s="841">
        <f>G83*N83</f>
        <v>0</v>
      </c>
      <c r="L83" s="841">
        <f>G83*O83</f>
        <v>0</v>
      </c>
      <c r="M83" s="841">
        <f>G83*P83</f>
        <v>0</v>
      </c>
      <c r="N83" s="841">
        <f t="shared" ref="N83:O85" si="14">I83</f>
        <v>0</v>
      </c>
      <c r="O83" s="841">
        <f t="shared" si="14"/>
        <v>0</v>
      </c>
      <c r="P83" s="655">
        <f>IF(I83&gt;1,I83,J83)</f>
        <v>0</v>
      </c>
      <c r="S83" s="55"/>
    </row>
    <row r="84" spans="3:19" ht="11.45" customHeight="1" x14ac:dyDescent="0.2">
      <c r="C84" s="433"/>
      <c r="D84" s="425" t="s">
        <v>482</v>
      </c>
      <c r="E84" s="1325"/>
      <c r="F84" s="1326"/>
      <c r="G84" s="1324"/>
      <c r="H84" s="1321"/>
      <c r="I84" s="840"/>
      <c r="J84" s="840"/>
      <c r="K84" s="841">
        <f>G84*N84</f>
        <v>0</v>
      </c>
      <c r="L84" s="841">
        <f>G84*O84</f>
        <v>0</v>
      </c>
      <c r="M84" s="841">
        <f>G84*P84</f>
        <v>0</v>
      </c>
      <c r="N84" s="841">
        <f t="shared" si="14"/>
        <v>0</v>
      </c>
      <c r="O84" s="841">
        <f t="shared" si="14"/>
        <v>0</v>
      </c>
      <c r="P84" s="655">
        <f>IF(I84&gt;1,I84,J84)</f>
        <v>0</v>
      </c>
      <c r="S84" s="55"/>
    </row>
    <row r="85" spans="3:19" ht="11.45" customHeight="1" x14ac:dyDescent="0.2">
      <c r="C85" s="439"/>
      <c r="D85" s="440" t="s">
        <v>483</v>
      </c>
      <c r="E85" s="1325"/>
      <c r="F85" s="1326"/>
      <c r="G85" s="1327"/>
      <c r="H85" s="1328"/>
      <c r="I85" s="492"/>
      <c r="J85" s="840"/>
      <c r="K85" s="841">
        <f>G85*N85</f>
        <v>0</v>
      </c>
      <c r="L85" s="841">
        <f>G85*O85</f>
        <v>0</v>
      </c>
      <c r="M85" s="841">
        <f>G85*P85</f>
        <v>0</v>
      </c>
      <c r="N85" s="841">
        <f t="shared" si="14"/>
        <v>0</v>
      </c>
      <c r="O85" s="841">
        <f t="shared" si="14"/>
        <v>0</v>
      </c>
      <c r="P85" s="655">
        <f>IF(I85&gt;1,I85,J85)</f>
        <v>0</v>
      </c>
    </row>
    <row r="86" spans="3:19" ht="11.45" customHeight="1" x14ac:dyDescent="0.2">
      <c r="C86" s="827" t="s">
        <v>744</v>
      </c>
      <c r="D86" s="423"/>
      <c r="E86" s="423"/>
      <c r="F86" s="55"/>
      <c r="I86" s="423"/>
      <c r="J86" s="441" t="s">
        <v>998</v>
      </c>
      <c r="K86" s="842">
        <f>SUM(K71:K85)</f>
        <v>0</v>
      </c>
      <c r="L86" s="842">
        <f>SUM(L71:L85)</f>
        <v>0</v>
      </c>
      <c r="M86" s="843"/>
      <c r="N86" s="842">
        <f>SUM(N71:N85)</f>
        <v>0</v>
      </c>
      <c r="O86" s="842">
        <f>SUM(O71:O85)</f>
        <v>0</v>
      </c>
      <c r="P86" s="844"/>
    </row>
    <row r="87" spans="3:19" ht="11.45" customHeight="1" x14ac:dyDescent="0.2">
      <c r="J87" s="54" t="s">
        <v>4150</v>
      </c>
      <c r="K87" s="1025">
        <f>'Form N1'!G7</f>
        <v>0</v>
      </c>
      <c r="L87" s="1025">
        <f>'Form N1'!G7</f>
        <v>0</v>
      </c>
    </row>
    <row r="88" spans="3:19" ht="11.45" customHeight="1" x14ac:dyDescent="0.2">
      <c r="G88" s="55"/>
      <c r="H88" s="55"/>
      <c r="I88" s="55"/>
      <c r="J88" s="55"/>
      <c r="K88" s="55"/>
      <c r="L88" s="55"/>
      <c r="M88" s="55"/>
      <c r="N88" s="55"/>
      <c r="O88" s="55"/>
      <c r="P88" s="55"/>
    </row>
  </sheetData>
  <mergeCells count="63">
    <mergeCell ref="T54:T56"/>
    <mergeCell ref="U54:U56"/>
    <mergeCell ref="W54:W56"/>
    <mergeCell ref="R63:X63"/>
    <mergeCell ref="R60:X60"/>
    <mergeCell ref="R62:X62"/>
    <mergeCell ref="R61:X61"/>
    <mergeCell ref="C32:D32"/>
    <mergeCell ref="B2:P3"/>
    <mergeCell ref="C33:D33"/>
    <mergeCell ref="B9:D11"/>
    <mergeCell ref="G78:H78"/>
    <mergeCell ref="E77:F77"/>
    <mergeCell ref="C34:D34"/>
    <mergeCell ref="E73:F73"/>
    <mergeCell ref="B38:D40"/>
    <mergeCell ref="B49:D51"/>
    <mergeCell ref="B42:C42"/>
    <mergeCell ref="E72:F72"/>
    <mergeCell ref="E71:F71"/>
    <mergeCell ref="E78:F78"/>
    <mergeCell ref="H14:H16"/>
    <mergeCell ref="B5:D5"/>
    <mergeCell ref="B7:D7"/>
    <mergeCell ref="O5:P5"/>
    <mergeCell ref="O6:P6"/>
    <mergeCell ref="O7:P7"/>
    <mergeCell ref="M5:N7"/>
    <mergeCell ref="H5:I5"/>
    <mergeCell ref="J5:K5"/>
    <mergeCell ref="R52:X52"/>
    <mergeCell ref="R2:X2"/>
    <mergeCell ref="R3:S3"/>
    <mergeCell ref="R53:X53"/>
    <mergeCell ref="R41:X41"/>
    <mergeCell ref="V18:V25"/>
    <mergeCell ref="R40:X40"/>
    <mergeCell ref="W18:W25"/>
    <mergeCell ref="R42:X42"/>
    <mergeCell ref="R17:X17"/>
    <mergeCell ref="R13:X13"/>
    <mergeCell ref="V14:V16"/>
    <mergeCell ref="E84:F84"/>
    <mergeCell ref="E85:F85"/>
    <mergeCell ref="G79:H79"/>
    <mergeCell ref="G72:H72"/>
    <mergeCell ref="G82:H82"/>
    <mergeCell ref="G73:H73"/>
    <mergeCell ref="G80:H80"/>
    <mergeCell ref="G85:H85"/>
    <mergeCell ref="G84:H84"/>
    <mergeCell ref="G83:H83"/>
    <mergeCell ref="E79:F79"/>
    <mergeCell ref="E83:F83"/>
    <mergeCell ref="G81:H81"/>
    <mergeCell ref="G75:H75"/>
    <mergeCell ref="G76:H76"/>
    <mergeCell ref="G77:H77"/>
    <mergeCell ref="G69:H69"/>
    <mergeCell ref="G68:H68"/>
    <mergeCell ref="G70:H70"/>
    <mergeCell ref="G71:H71"/>
    <mergeCell ref="G74:H74"/>
  </mergeCells>
  <phoneticPr fontId="2" type="noConversion"/>
  <pageMargins left="0.75" right="0.75" top="1" bottom="1" header="0.5" footer="0.5"/>
  <pageSetup orientation="portrait" r:id="rId1"/>
  <headerFooter alignWithMargins="0"/>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4"/>
  <dimension ref="B2:R55"/>
  <sheetViews>
    <sheetView workbookViewId="0">
      <selection activeCell="C25" sqref="C25"/>
    </sheetView>
  </sheetViews>
  <sheetFormatPr defaultColWidth="8.7109375" defaultRowHeight="12" customHeight="1" x14ac:dyDescent="0.2"/>
  <cols>
    <col min="1" max="1" width="3.5703125" style="174" customWidth="1"/>
    <col min="2" max="16384" width="8.7109375" style="174"/>
  </cols>
  <sheetData>
    <row r="2" spans="2:18" ht="12" customHeight="1" x14ac:dyDescent="0.2">
      <c r="B2" s="2116" t="s">
        <v>3108</v>
      </c>
      <c r="C2" s="1960"/>
      <c r="D2" s="1960"/>
      <c r="E2" s="1960"/>
      <c r="F2" s="1960"/>
      <c r="G2" s="1960"/>
      <c r="H2" s="1960"/>
      <c r="I2" s="1960"/>
      <c r="J2" s="1960"/>
      <c r="K2" s="1960"/>
      <c r="L2" s="1960"/>
      <c r="M2" s="2117"/>
    </row>
    <row r="3" spans="2:18" ht="12" customHeight="1" x14ac:dyDescent="0.2">
      <c r="B3" s="2127" t="s">
        <v>3109</v>
      </c>
      <c r="C3" s="1959"/>
      <c r="D3" s="1959"/>
      <c r="E3" s="1959"/>
      <c r="F3" s="1959"/>
      <c r="G3" s="1959"/>
      <c r="H3" s="1959"/>
      <c r="I3" s="1959"/>
      <c r="J3" s="1959"/>
      <c r="K3" s="1959"/>
      <c r="L3" s="1959"/>
      <c r="M3" s="2128"/>
    </row>
    <row r="4" spans="2:18" ht="12" customHeight="1" x14ac:dyDescent="0.2">
      <c r="B4" s="179"/>
      <c r="C4" s="180"/>
      <c r="D4" s="180"/>
      <c r="E4" s="454" t="s">
        <v>476</v>
      </c>
      <c r="F4" s="685" t="str">
        <f>'Wrk A'!$H$5</f>
        <v>Block</v>
      </c>
      <c r="G4" s="919" t="s">
        <v>3985</v>
      </c>
      <c r="H4" s="920" t="str">
        <f>'Wrk A'!C15</f>
        <v>Jul &amp; Aug</v>
      </c>
      <c r="I4" s="919" t="s">
        <v>1079</v>
      </c>
      <c r="J4" s="951">
        <f>'Wrk A'!K16</f>
        <v>0.5</v>
      </c>
      <c r="L4" s="180"/>
      <c r="M4" s="181"/>
    </row>
    <row r="5" spans="2:18" ht="12" customHeight="1" x14ac:dyDescent="0.2">
      <c r="B5" s="2113" t="s">
        <v>4105</v>
      </c>
      <c r="C5" s="2114"/>
      <c r="D5" s="2114"/>
      <c r="E5" s="2114"/>
      <c r="F5" s="2114"/>
      <c r="G5" s="2114"/>
      <c r="H5" s="2114"/>
      <c r="I5" s="2114"/>
      <c r="J5" s="2114"/>
      <c r="K5" s="2114"/>
      <c r="L5" s="2114"/>
      <c r="M5" s="2115"/>
    </row>
    <row r="6" spans="2:18" ht="12" customHeight="1" x14ac:dyDescent="0.2">
      <c r="B6" s="182" t="s">
        <v>3985</v>
      </c>
      <c r="C6" s="182" t="s">
        <v>1079</v>
      </c>
      <c r="D6" s="182" t="s">
        <v>3480</v>
      </c>
      <c r="E6" s="183" t="s">
        <v>3942</v>
      </c>
      <c r="F6" s="183" t="s">
        <v>3943</v>
      </c>
      <c r="G6" s="183" t="s">
        <v>3944</v>
      </c>
      <c r="H6" s="183" t="s">
        <v>3482</v>
      </c>
      <c r="I6" s="183" t="s">
        <v>3945</v>
      </c>
      <c r="J6" s="183" t="s">
        <v>3946</v>
      </c>
      <c r="K6" s="183" t="s">
        <v>3947</v>
      </c>
      <c r="L6" s="183" t="s">
        <v>3947</v>
      </c>
      <c r="M6" s="765" t="s">
        <v>907</v>
      </c>
      <c r="N6" s="184"/>
      <c r="O6" s="228"/>
      <c r="P6" s="185"/>
      <c r="Q6" s="185"/>
      <c r="R6" s="185"/>
    </row>
    <row r="7" spans="2:18" ht="12" customHeight="1" x14ac:dyDescent="0.2">
      <c r="B7" s="186"/>
      <c r="C7" s="186"/>
      <c r="D7" s="186"/>
      <c r="E7" s="187" t="s">
        <v>3948</v>
      </c>
      <c r="F7" s="187" t="s">
        <v>438</v>
      </c>
      <c r="G7" s="187" t="s">
        <v>3471</v>
      </c>
      <c r="H7" s="187" t="s">
        <v>3950</v>
      </c>
      <c r="I7" s="187" t="s">
        <v>3483</v>
      </c>
      <c r="J7" s="187" t="s">
        <v>3951</v>
      </c>
      <c r="K7" s="187" t="s">
        <v>3952</v>
      </c>
      <c r="L7" s="187" t="s">
        <v>3953</v>
      </c>
      <c r="M7" s="767" t="s">
        <v>3984</v>
      </c>
      <c r="N7" s="185"/>
      <c r="O7" s="768" t="s">
        <v>1712</v>
      </c>
      <c r="P7" s="185"/>
      <c r="Q7" s="185"/>
      <c r="R7" s="185"/>
    </row>
    <row r="8" spans="2:18" ht="12" customHeight="1" x14ac:dyDescent="0.2">
      <c r="B8" s="251" t="str">
        <f>'Wrk A'!C15</f>
        <v>Jul &amp; Aug</v>
      </c>
      <c r="C8" s="194">
        <f>'Wrk A'!K16</f>
        <v>0.5</v>
      </c>
      <c r="D8" s="556">
        <f>'Wrk A'!J5</f>
        <v>36</v>
      </c>
      <c r="E8" s="556">
        <f>'Wrk A'!G12</f>
        <v>106</v>
      </c>
      <c r="F8" s="556">
        <f>'Wrk A'!I16</f>
        <v>75</v>
      </c>
      <c r="G8" s="556">
        <f>'Wrk A'!K12</f>
        <v>30</v>
      </c>
      <c r="H8" s="540">
        <f>'Wrk A'!L5</f>
        <v>0.93</v>
      </c>
      <c r="I8" s="260"/>
      <c r="J8" s="539"/>
      <c r="K8" s="188">
        <f>(I8*(J8=0)+(J8&gt;0)*I8)/(COS(J8*3.14/180))</f>
        <v>0</v>
      </c>
      <c r="L8" s="260"/>
      <c r="M8" s="545"/>
      <c r="O8" s="766" t="e">
        <f>100*E34</f>
        <v>#DIV/0!</v>
      </c>
      <c r="P8" s="203" t="s">
        <v>2343</v>
      </c>
      <c r="Q8" s="185"/>
      <c r="R8" s="185"/>
    </row>
    <row r="9" spans="2:18" ht="12" customHeight="1" x14ac:dyDescent="0.2">
      <c r="B9" s="179" t="s">
        <v>2508</v>
      </c>
      <c r="C9" s="180"/>
      <c r="D9" s="180"/>
      <c r="E9" s="180"/>
      <c r="F9" s="180"/>
      <c r="G9" s="180"/>
      <c r="H9" s="180"/>
      <c r="I9" s="180"/>
      <c r="J9" s="180"/>
      <c r="K9" s="180"/>
      <c r="L9" s="180"/>
      <c r="M9" s="181"/>
      <c r="O9" s="185" t="s">
        <v>2509</v>
      </c>
    </row>
    <row r="10" spans="2:18" ht="12" customHeight="1" x14ac:dyDescent="0.2">
      <c r="B10" s="179" t="s">
        <v>1675</v>
      </c>
      <c r="C10" s="180"/>
      <c r="D10" s="180"/>
      <c r="E10" s="180"/>
      <c r="F10" s="180"/>
      <c r="G10" s="180"/>
      <c r="H10" s="180"/>
      <c r="I10" s="180"/>
      <c r="J10" s="180"/>
      <c r="K10" s="180"/>
      <c r="L10" s="180"/>
      <c r="M10" s="181"/>
    </row>
    <row r="11" spans="2:18" ht="12" customHeight="1" x14ac:dyDescent="0.2">
      <c r="B11" s="179"/>
      <c r="C11" s="180"/>
      <c r="D11" s="180"/>
      <c r="E11" s="180"/>
      <c r="F11" s="180"/>
      <c r="G11" s="180"/>
      <c r="H11" s="180"/>
      <c r="I11" s="180"/>
      <c r="J11" s="180"/>
      <c r="K11" s="180"/>
      <c r="L11" s="180"/>
      <c r="M11" s="181"/>
      <c r="O11" s="670">
        <v>83</v>
      </c>
      <c r="P11" s="795" t="s">
        <v>3864</v>
      </c>
    </row>
    <row r="12" spans="2:18" ht="12" customHeight="1" x14ac:dyDescent="0.2">
      <c r="B12" s="2113" t="s">
        <v>2511</v>
      </c>
      <c r="C12" s="2114"/>
      <c r="D12" s="2114"/>
      <c r="E12" s="2114"/>
      <c r="F12" s="2114"/>
      <c r="G12" s="2114"/>
      <c r="H12" s="2114"/>
      <c r="I12" s="2114"/>
      <c r="J12" s="2114"/>
      <c r="K12" s="2114"/>
      <c r="L12" s="2114"/>
      <c r="M12" s="2115"/>
      <c r="O12" s="881">
        <f>M34</f>
        <v>-16</v>
      </c>
      <c r="P12" s="793" t="s">
        <v>3865</v>
      </c>
    </row>
    <row r="13" spans="2:18" ht="12" customHeight="1" x14ac:dyDescent="0.2">
      <c r="B13" s="189" t="s">
        <v>2512</v>
      </c>
      <c r="C13" s="190"/>
      <c r="D13" s="182" t="s">
        <v>3946</v>
      </c>
      <c r="E13" s="182" t="s">
        <v>2838</v>
      </c>
      <c r="F13" s="182" t="s">
        <v>2839</v>
      </c>
      <c r="G13" s="182" t="s">
        <v>3946</v>
      </c>
      <c r="H13" s="182" t="s">
        <v>413</v>
      </c>
      <c r="I13" s="182" t="s">
        <v>3493</v>
      </c>
      <c r="J13" s="182" t="s">
        <v>1503</v>
      </c>
      <c r="K13" s="182" t="s">
        <v>3494</v>
      </c>
      <c r="L13" s="191"/>
      <c r="M13" s="182" t="s">
        <v>3495</v>
      </c>
      <c r="P13" s="791"/>
    </row>
    <row r="14" spans="2:18" ht="12" customHeight="1" x14ac:dyDescent="0.2">
      <c r="B14" s="471" t="s">
        <v>3496</v>
      </c>
      <c r="C14" s="213"/>
      <c r="D14" s="201" t="s">
        <v>3497</v>
      </c>
      <c r="E14" s="201" t="s">
        <v>489</v>
      </c>
      <c r="F14" s="201" t="s">
        <v>3498</v>
      </c>
      <c r="G14" s="201" t="s">
        <v>3493</v>
      </c>
      <c r="H14" s="201" t="s">
        <v>3499</v>
      </c>
      <c r="I14" s="201" t="s">
        <v>3513</v>
      </c>
      <c r="J14" s="201" t="s">
        <v>1097</v>
      </c>
      <c r="K14" s="201" t="s">
        <v>3500</v>
      </c>
      <c r="L14" s="193"/>
      <c r="M14" s="201" t="s">
        <v>3501</v>
      </c>
      <c r="O14" s="793" t="s">
        <v>906</v>
      </c>
    </row>
    <row r="15" spans="2:18" ht="12" customHeight="1" x14ac:dyDescent="0.2">
      <c r="B15" s="192"/>
      <c r="C15" s="178"/>
      <c r="D15" s="186"/>
      <c r="E15" s="186"/>
      <c r="F15" s="186"/>
      <c r="G15" s="186"/>
      <c r="H15" s="186" t="s">
        <v>3398</v>
      </c>
      <c r="I15" s="186" t="s">
        <v>3398</v>
      </c>
      <c r="J15" s="186" t="s">
        <v>3398</v>
      </c>
      <c r="K15" s="186"/>
      <c r="L15" s="193"/>
      <c r="M15" s="186"/>
      <c r="O15" s="793" t="s">
        <v>1445</v>
      </c>
    </row>
    <row r="16" spans="2:18" ht="12" customHeight="1" x14ac:dyDescent="0.2">
      <c r="B16" s="543"/>
      <c r="C16" s="544"/>
      <c r="D16" s="545"/>
      <c r="E16" s="547"/>
      <c r="F16" s="548"/>
      <c r="G16" s="547"/>
      <c r="H16" s="549"/>
      <c r="I16" s="549"/>
      <c r="J16" s="550"/>
      <c r="K16" s="194">
        <f>(F16+H16)*I16+(E8-95)+(75-M8)+J16</f>
        <v>86</v>
      </c>
      <c r="L16" s="195"/>
      <c r="M16" s="196">
        <f>D16*K16</f>
        <v>0</v>
      </c>
      <c r="O16" s="852"/>
      <c r="P16" s="791"/>
    </row>
    <row r="17" spans="2:16" ht="12" customHeight="1" x14ac:dyDescent="0.2">
      <c r="B17" s="179" t="s">
        <v>414</v>
      </c>
      <c r="C17" s="180"/>
      <c r="D17" s="180"/>
      <c r="E17" s="180"/>
      <c r="F17" s="180"/>
      <c r="G17" s="180"/>
      <c r="H17" s="180"/>
      <c r="I17" s="180"/>
      <c r="J17" s="180"/>
      <c r="K17" s="180"/>
      <c r="L17" s="180"/>
      <c r="M17" s="197"/>
      <c r="P17" s="793"/>
    </row>
    <row r="18" spans="2:16" ht="12" customHeight="1" x14ac:dyDescent="0.2">
      <c r="B18" s="179" t="s">
        <v>1678</v>
      </c>
      <c r="C18" s="180"/>
      <c r="D18" s="180"/>
      <c r="E18" s="180"/>
      <c r="F18" s="180"/>
      <c r="G18" s="180"/>
      <c r="H18" s="180"/>
      <c r="I18" s="180"/>
      <c r="J18" s="180"/>
      <c r="K18" s="180"/>
      <c r="L18" s="180"/>
      <c r="M18" s="181"/>
    </row>
    <row r="19" spans="2:16" ht="12" customHeight="1" x14ac:dyDescent="0.2">
      <c r="B19" s="179" t="s">
        <v>417</v>
      </c>
      <c r="C19" s="180"/>
      <c r="D19" s="180"/>
      <c r="E19" s="180"/>
      <c r="F19" s="180"/>
      <c r="G19" s="180"/>
      <c r="H19" s="180"/>
      <c r="I19" s="180"/>
      <c r="J19" s="180"/>
      <c r="K19" s="180"/>
      <c r="L19" s="180"/>
      <c r="M19" s="181"/>
    </row>
    <row r="20" spans="2:16" ht="12" customHeight="1" x14ac:dyDescent="0.2">
      <c r="B20" s="179"/>
      <c r="C20" s="180"/>
      <c r="D20" s="180"/>
      <c r="E20" s="180"/>
      <c r="F20" s="180"/>
      <c r="G20" s="180"/>
      <c r="H20" s="180"/>
      <c r="I20" s="180"/>
      <c r="J20" s="180"/>
      <c r="K20" s="180"/>
      <c r="L20" s="180"/>
      <c r="M20" s="181"/>
    </row>
    <row r="21" spans="2:16" ht="12" customHeight="1" x14ac:dyDescent="0.2">
      <c r="B21" s="2113" t="s">
        <v>418</v>
      </c>
      <c r="C21" s="2114"/>
      <c r="D21" s="2114"/>
      <c r="E21" s="2114"/>
      <c r="F21" s="2000"/>
      <c r="G21" s="1350"/>
      <c r="H21" s="2113" t="s">
        <v>419</v>
      </c>
      <c r="I21" s="2114"/>
      <c r="J21" s="2114"/>
      <c r="K21" s="264"/>
      <c r="L21" s="968"/>
      <c r="M21" s="969"/>
    </row>
    <row r="22" spans="2:16" ht="12" customHeight="1" x14ac:dyDescent="0.2">
      <c r="B22" s="200" t="s">
        <v>1055</v>
      </c>
      <c r="C22" s="200" t="s">
        <v>354</v>
      </c>
      <c r="D22" s="200" t="s">
        <v>942</v>
      </c>
      <c r="E22" s="199" t="s">
        <v>941</v>
      </c>
      <c r="F22" s="200" t="s">
        <v>3947</v>
      </c>
      <c r="G22" s="200" t="s">
        <v>942</v>
      </c>
      <c r="H22" s="200" t="s">
        <v>3502</v>
      </c>
      <c r="I22" s="200" t="s">
        <v>3502</v>
      </c>
      <c r="J22" s="248" t="s">
        <v>3502</v>
      </c>
      <c r="K22" s="193"/>
      <c r="L22" s="256"/>
      <c r="M22" s="903"/>
    </row>
    <row r="23" spans="2:16" ht="12" customHeight="1" x14ac:dyDescent="0.2">
      <c r="B23" s="202" t="s">
        <v>353</v>
      </c>
      <c r="C23" s="202" t="s">
        <v>3628</v>
      </c>
      <c r="D23" s="202" t="s">
        <v>2463</v>
      </c>
      <c r="E23" s="202" t="s">
        <v>944</v>
      </c>
      <c r="F23" s="202" t="s">
        <v>3502</v>
      </c>
      <c r="G23" s="202" t="s">
        <v>3501</v>
      </c>
      <c r="H23" s="202" t="s">
        <v>945</v>
      </c>
      <c r="I23" s="202" t="s">
        <v>1095</v>
      </c>
      <c r="J23" s="249" t="s">
        <v>946</v>
      </c>
      <c r="K23" s="193"/>
      <c r="L23" s="256"/>
      <c r="M23" s="903"/>
    </row>
    <row r="24" spans="2:16" ht="12" customHeight="1" x14ac:dyDescent="0.2">
      <c r="B24" s="187" t="s">
        <v>860</v>
      </c>
      <c r="C24" s="891" t="s">
        <v>2117</v>
      </c>
      <c r="D24" s="187" t="s">
        <v>2302</v>
      </c>
      <c r="E24" s="186" t="s">
        <v>1179</v>
      </c>
      <c r="F24" s="187" t="s">
        <v>948</v>
      </c>
      <c r="G24" s="187"/>
      <c r="H24" s="187"/>
      <c r="I24" s="187" t="s">
        <v>951</v>
      </c>
      <c r="J24" s="250"/>
      <c r="K24" s="193"/>
      <c r="L24" s="256"/>
      <c r="M24" s="903"/>
    </row>
    <row r="25" spans="2:16" ht="12" customHeight="1" x14ac:dyDescent="0.2">
      <c r="B25" s="542">
        <f>'Wrk E'!P13</f>
        <v>0</v>
      </c>
      <c r="C25" s="967"/>
      <c r="D25" s="188">
        <f>B25*C25</f>
        <v>0</v>
      </c>
      <c r="E25" s="260"/>
      <c r="F25" s="188">
        <f>L8</f>
        <v>0</v>
      </c>
      <c r="G25" s="205" t="e">
        <f>(D25+E25)/F25</f>
        <v>#DIV/0!</v>
      </c>
      <c r="H25" s="546"/>
      <c r="I25" s="546"/>
      <c r="J25" s="205">
        <f>-I25*(M8-F8)</f>
        <v>0</v>
      </c>
      <c r="K25" s="970"/>
      <c r="L25" s="267"/>
      <c r="M25" s="907"/>
    </row>
    <row r="26" spans="2:16" ht="12" customHeight="1" x14ac:dyDescent="0.2">
      <c r="B26" s="179" t="s">
        <v>3012</v>
      </c>
      <c r="C26" s="180"/>
      <c r="D26" s="180"/>
      <c r="E26" s="180"/>
      <c r="F26" s="180"/>
      <c r="G26" s="180"/>
      <c r="H26" s="180"/>
      <c r="I26" s="180"/>
      <c r="J26" s="180"/>
      <c r="K26" s="180"/>
      <c r="L26" s="180"/>
      <c r="M26" s="181"/>
    </row>
    <row r="27" spans="2:16" ht="12" customHeight="1" x14ac:dyDescent="0.2">
      <c r="B27" s="252" t="s">
        <v>3086</v>
      </c>
      <c r="C27" s="208"/>
      <c r="D27" s="208"/>
      <c r="E27" s="208"/>
      <c r="F27" s="208"/>
      <c r="G27" s="208"/>
      <c r="H27" s="208"/>
      <c r="I27" s="180"/>
      <c r="J27" s="180"/>
      <c r="K27" s="180"/>
      <c r="L27" s="180"/>
      <c r="M27" s="181"/>
    </row>
    <row r="28" spans="2:16" ht="12" customHeight="1" x14ac:dyDescent="0.2">
      <c r="B28" s="252" t="s">
        <v>3085</v>
      </c>
      <c r="C28" s="208"/>
      <c r="D28" s="208"/>
      <c r="E28" s="208"/>
      <c r="F28" s="208"/>
      <c r="G28" s="208"/>
      <c r="H28" s="208"/>
      <c r="I28" s="208"/>
      <c r="J28" s="208"/>
      <c r="K28" s="208"/>
      <c r="L28" s="208"/>
      <c r="M28" s="181"/>
    </row>
    <row r="29" spans="2:16" ht="12" customHeight="1" x14ac:dyDescent="0.2">
      <c r="B29" s="179"/>
      <c r="C29" s="180"/>
      <c r="D29" s="180"/>
      <c r="E29" s="180"/>
      <c r="F29" s="180"/>
      <c r="G29" s="180"/>
      <c r="H29" s="180"/>
      <c r="I29" s="180"/>
      <c r="J29" s="180"/>
      <c r="K29" s="180"/>
      <c r="L29" s="180"/>
      <c r="M29" s="181"/>
    </row>
    <row r="30" spans="2:16" ht="12" customHeight="1" x14ac:dyDescent="0.2">
      <c r="B30" s="2113" t="s">
        <v>3361</v>
      </c>
      <c r="C30" s="2138"/>
      <c r="D30" s="2138"/>
      <c r="E30" s="2138"/>
      <c r="F30" s="253"/>
      <c r="G30" s="200" t="s">
        <v>3472</v>
      </c>
      <c r="H30" s="191"/>
      <c r="I30" s="226"/>
      <c r="J30" s="226"/>
      <c r="K30" s="227"/>
      <c r="L30" s="2137" t="s">
        <v>1446</v>
      </c>
      <c r="M30" s="1315"/>
    </row>
    <row r="31" spans="2:16" ht="12" customHeight="1" x14ac:dyDescent="0.2">
      <c r="B31" s="199" t="s">
        <v>3946</v>
      </c>
      <c r="C31" s="199" t="s">
        <v>942</v>
      </c>
      <c r="D31" s="199" t="s">
        <v>3502</v>
      </c>
      <c r="E31" s="255" t="s">
        <v>1426</v>
      </c>
      <c r="F31" s="229"/>
      <c r="G31" s="202" t="s">
        <v>828</v>
      </c>
      <c r="H31" s="193"/>
      <c r="I31" s="230"/>
      <c r="J31" s="230"/>
      <c r="K31" s="231"/>
      <c r="L31" s="757" t="s">
        <v>3419</v>
      </c>
      <c r="M31" s="757" t="s">
        <v>3358</v>
      </c>
    </row>
    <row r="32" spans="2:16" ht="12" customHeight="1" x14ac:dyDescent="0.2">
      <c r="B32" s="201" t="s">
        <v>1428</v>
      </c>
      <c r="C32" s="201" t="s">
        <v>1428</v>
      </c>
      <c r="D32" s="201" t="s">
        <v>946</v>
      </c>
      <c r="E32" s="257" t="s">
        <v>1429</v>
      </c>
      <c r="F32" s="229"/>
      <c r="G32" s="202" t="s">
        <v>3628</v>
      </c>
      <c r="H32" s="193"/>
      <c r="I32" s="230"/>
      <c r="J32" s="230"/>
      <c r="K32" s="231"/>
      <c r="L32" s="758" t="s">
        <v>3984</v>
      </c>
      <c r="M32" s="762" t="s">
        <v>3472</v>
      </c>
    </row>
    <row r="33" spans="2:16" ht="12" customHeight="1" x14ac:dyDescent="0.2">
      <c r="B33" s="214"/>
      <c r="C33" s="214"/>
      <c r="D33" s="214"/>
      <c r="E33" s="177"/>
      <c r="F33" s="229"/>
      <c r="G33" s="187" t="s">
        <v>3420</v>
      </c>
      <c r="H33" s="229"/>
      <c r="I33" s="230"/>
      <c r="J33" s="230"/>
      <c r="K33" s="231"/>
      <c r="L33" s="759" t="s">
        <v>908</v>
      </c>
      <c r="M33" s="763" t="s">
        <v>3422</v>
      </c>
    </row>
    <row r="34" spans="2:16" ht="12" customHeight="1" x14ac:dyDescent="0.2">
      <c r="B34" s="196">
        <f>M16</f>
        <v>0</v>
      </c>
      <c r="C34" s="196" t="e">
        <f>G25</f>
        <v>#DIV/0!</v>
      </c>
      <c r="D34" s="196">
        <f>J25</f>
        <v>0</v>
      </c>
      <c r="E34" s="258" t="e">
        <f>SUM(B34:D34)</f>
        <v>#DIV/0!</v>
      </c>
      <c r="F34" s="232"/>
      <c r="G34" s="556">
        <f>'Wrk A'!K25</f>
        <v>-32</v>
      </c>
      <c r="H34" s="232"/>
      <c r="I34" s="233"/>
      <c r="J34" s="233"/>
      <c r="K34" s="234"/>
      <c r="L34" s="772">
        <f>O11</f>
        <v>83</v>
      </c>
      <c r="M34" s="772">
        <f>G34/2</f>
        <v>-16</v>
      </c>
    </row>
    <row r="35" spans="2:16" ht="12" customHeight="1" x14ac:dyDescent="0.2">
      <c r="B35" s="252" t="s">
        <v>1679</v>
      </c>
      <c r="C35" s="208"/>
      <c r="D35" s="208"/>
      <c r="E35" s="208"/>
      <c r="F35" s="208"/>
      <c r="G35" s="208"/>
      <c r="H35" s="208"/>
      <c r="I35" s="208"/>
      <c r="J35" s="180"/>
      <c r="K35" s="180"/>
      <c r="L35" s="180"/>
      <c r="M35" s="181"/>
    </row>
    <row r="36" spans="2:16" ht="12" customHeight="1" x14ac:dyDescent="0.2">
      <c r="B36" s="252" t="s">
        <v>3424</v>
      </c>
      <c r="C36" s="208"/>
      <c r="D36" s="208"/>
      <c r="E36" s="208"/>
      <c r="F36" s="208"/>
      <c r="G36" s="208"/>
      <c r="H36" s="208"/>
      <c r="I36" s="208"/>
      <c r="J36" s="180"/>
      <c r="K36" s="180"/>
      <c r="L36" s="180"/>
      <c r="M36" s="181"/>
    </row>
    <row r="37" spans="2:16" ht="12" customHeight="1" x14ac:dyDescent="0.2">
      <c r="B37" s="252" t="s">
        <v>3425</v>
      </c>
      <c r="C37" s="208"/>
      <c r="D37" s="208"/>
      <c r="E37" s="208"/>
      <c r="F37" s="208"/>
      <c r="G37" s="208"/>
      <c r="H37" s="208"/>
      <c r="I37" s="208"/>
      <c r="J37" s="180"/>
      <c r="K37" s="180"/>
      <c r="L37" s="180"/>
      <c r="M37" s="181"/>
    </row>
    <row r="38" spans="2:16" ht="12" customHeight="1" x14ac:dyDescent="0.2">
      <c r="B38" s="252" t="s">
        <v>3426</v>
      </c>
      <c r="C38" s="208"/>
      <c r="D38" s="208"/>
      <c r="E38" s="208"/>
      <c r="F38" s="208"/>
      <c r="G38" s="208"/>
      <c r="H38" s="208"/>
      <c r="I38" s="208"/>
      <c r="J38" s="180"/>
      <c r="K38" s="180"/>
      <c r="L38" s="180"/>
      <c r="M38" s="181"/>
    </row>
    <row r="39" spans="2:16" ht="12" customHeight="1" x14ac:dyDescent="0.2">
      <c r="B39" s="179" t="s">
        <v>3427</v>
      </c>
      <c r="C39" s="180"/>
      <c r="D39" s="180"/>
      <c r="E39" s="180"/>
      <c r="F39" s="180"/>
      <c r="G39" s="180"/>
      <c r="H39" s="180"/>
      <c r="I39" s="180"/>
      <c r="J39" s="180"/>
      <c r="K39" s="180"/>
      <c r="L39" s="180"/>
      <c r="M39" s="181"/>
    </row>
    <row r="40" spans="2:16" ht="12" customHeight="1" x14ac:dyDescent="0.2">
      <c r="B40" s="179"/>
      <c r="C40" s="180"/>
      <c r="D40" s="180"/>
      <c r="E40" s="180"/>
      <c r="F40" s="180"/>
      <c r="G40" s="180"/>
      <c r="H40" s="180"/>
      <c r="I40" s="180"/>
      <c r="J40" s="180"/>
      <c r="K40" s="180"/>
      <c r="L40" s="180"/>
      <c r="M40" s="181"/>
    </row>
    <row r="41" spans="2:16" ht="12" customHeight="1" x14ac:dyDescent="0.2">
      <c r="B41" s="2113" t="s">
        <v>3428</v>
      </c>
      <c r="C41" s="2114"/>
      <c r="D41" s="2114"/>
      <c r="E41" s="2113" t="s">
        <v>3389</v>
      </c>
      <c r="F41" s="2114"/>
      <c r="G41" s="2114"/>
      <c r="H41" s="2140"/>
      <c r="I41" s="2141"/>
      <c r="J41" s="2141"/>
      <c r="K41" s="2141"/>
      <c r="L41" s="2142"/>
      <c r="M41" s="183" t="s">
        <v>907</v>
      </c>
      <c r="O41" s="768" t="s">
        <v>1712</v>
      </c>
      <c r="P41" s="185"/>
    </row>
    <row r="42" spans="2:16" ht="12" customHeight="1" x14ac:dyDescent="0.2">
      <c r="B42" s="182" t="s">
        <v>3946</v>
      </c>
      <c r="C42" s="200" t="s">
        <v>3429</v>
      </c>
      <c r="D42" s="199" t="s">
        <v>3946</v>
      </c>
      <c r="E42" s="200" t="s">
        <v>3502</v>
      </c>
      <c r="F42" s="199" t="s">
        <v>611</v>
      </c>
      <c r="G42" s="199" t="s">
        <v>3502</v>
      </c>
      <c r="H42" s="193"/>
      <c r="I42" s="256"/>
      <c r="J42" s="256"/>
      <c r="K42" s="256"/>
      <c r="L42" s="231"/>
      <c r="M42" s="202" t="s">
        <v>3983</v>
      </c>
      <c r="O42" s="766">
        <f>100*D54</f>
        <v>0</v>
      </c>
      <c r="P42" s="203" t="s">
        <v>2343</v>
      </c>
    </row>
    <row r="43" spans="2:16" ht="12" customHeight="1" x14ac:dyDescent="0.2">
      <c r="B43" s="201" t="s">
        <v>3497</v>
      </c>
      <c r="C43" s="202" t="s">
        <v>2760</v>
      </c>
      <c r="D43" s="201" t="s">
        <v>946</v>
      </c>
      <c r="E43" s="202" t="s">
        <v>1095</v>
      </c>
      <c r="F43" s="201" t="s">
        <v>2760</v>
      </c>
      <c r="G43" s="201" t="s">
        <v>1428</v>
      </c>
      <c r="H43" s="193"/>
      <c r="I43" s="256"/>
      <c r="J43" s="256"/>
      <c r="K43" s="256"/>
      <c r="L43" s="231"/>
      <c r="M43" s="2133">
        <v>59.66</v>
      </c>
      <c r="O43" s="185" t="s">
        <v>2509</v>
      </c>
    </row>
    <row r="44" spans="2:16" ht="12" customHeight="1" x14ac:dyDescent="0.2">
      <c r="B44" s="186"/>
      <c r="C44" s="187" t="s">
        <v>3948</v>
      </c>
      <c r="D44" s="186"/>
      <c r="E44" s="187" t="s">
        <v>951</v>
      </c>
      <c r="F44" s="186" t="s">
        <v>3949</v>
      </c>
      <c r="G44" s="186"/>
      <c r="H44" s="193"/>
      <c r="I44" s="256"/>
      <c r="J44" s="256"/>
      <c r="K44" s="256"/>
      <c r="L44" s="231"/>
      <c r="M44" s="2134"/>
    </row>
    <row r="45" spans="2:16" ht="12" customHeight="1" x14ac:dyDescent="0.2">
      <c r="B45" s="196">
        <f>D16</f>
        <v>0</v>
      </c>
      <c r="C45" s="251">
        <f>'Wrk A'!D26</f>
        <v>30</v>
      </c>
      <c r="D45" s="196">
        <f>-B45*(M43-C45)</f>
        <v>0</v>
      </c>
      <c r="E45" s="194">
        <f>I25</f>
        <v>0</v>
      </c>
      <c r="F45" s="251">
        <f>'Wrk A'!D25</f>
        <v>70</v>
      </c>
      <c r="G45" s="205">
        <f>E45*(F45-M43)</f>
        <v>0</v>
      </c>
      <c r="H45" s="908"/>
      <c r="I45" s="909"/>
      <c r="J45" s="267"/>
      <c r="K45" s="910"/>
      <c r="L45" s="234"/>
      <c r="M45" s="2135"/>
    </row>
    <row r="46" spans="2:16" ht="12" customHeight="1" x14ac:dyDescent="0.2">
      <c r="B46" s="252" t="s">
        <v>2094</v>
      </c>
      <c r="C46" s="208"/>
      <c r="D46" s="208"/>
      <c r="E46" s="208"/>
      <c r="F46" s="208"/>
      <c r="G46" s="208"/>
      <c r="H46" s="180"/>
      <c r="I46" s="180"/>
      <c r="J46" s="180"/>
      <c r="K46" s="180"/>
      <c r="L46" s="180"/>
      <c r="M46" s="181"/>
    </row>
    <row r="47" spans="2:16" ht="12" customHeight="1" x14ac:dyDescent="0.2">
      <c r="B47" s="179" t="s">
        <v>1680</v>
      </c>
      <c r="C47" s="180"/>
      <c r="D47" s="180"/>
      <c r="E47" s="180"/>
      <c r="F47" s="180"/>
      <c r="G47" s="180"/>
      <c r="H47" s="180"/>
      <c r="I47" s="180"/>
      <c r="J47" s="180"/>
      <c r="K47" s="180"/>
      <c r="L47" s="180"/>
      <c r="M47" s="181"/>
      <c r="O47" s="670">
        <v>59.66</v>
      </c>
      <c r="P47" s="795" t="s">
        <v>3864</v>
      </c>
    </row>
    <row r="48" spans="2:16" ht="12" customHeight="1" x14ac:dyDescent="0.2">
      <c r="B48" s="179" t="s">
        <v>1681</v>
      </c>
      <c r="C48" s="180"/>
      <c r="D48" s="180"/>
      <c r="E48" s="180"/>
      <c r="F48" s="180"/>
      <c r="G48" s="180"/>
      <c r="H48" s="180"/>
      <c r="I48" s="180"/>
      <c r="J48" s="180"/>
      <c r="K48" s="180"/>
      <c r="L48" s="180"/>
      <c r="M48" s="181"/>
      <c r="P48" s="852"/>
    </row>
    <row r="49" spans="2:15" ht="12" customHeight="1" x14ac:dyDescent="0.2">
      <c r="B49" s="179"/>
      <c r="C49" s="180"/>
      <c r="D49" s="180"/>
      <c r="E49" s="180"/>
      <c r="F49" s="180"/>
      <c r="G49" s="180"/>
      <c r="H49" s="180"/>
      <c r="I49" s="180"/>
      <c r="J49" s="180"/>
      <c r="K49" s="180"/>
      <c r="L49" s="180"/>
      <c r="M49" s="181"/>
      <c r="O49" s="793" t="s">
        <v>906</v>
      </c>
    </row>
    <row r="50" spans="2:15" ht="12" customHeight="1" x14ac:dyDescent="0.2">
      <c r="B50" s="2113" t="s">
        <v>1708</v>
      </c>
      <c r="C50" s="2138"/>
      <c r="D50" s="2138"/>
      <c r="E50" s="264"/>
      <c r="F50" s="226"/>
      <c r="G50" s="2136"/>
      <c r="H50" s="2136"/>
      <c r="I50" s="226"/>
      <c r="J50" s="254"/>
      <c r="K50" s="227"/>
      <c r="L50" s="2137" t="s">
        <v>1446</v>
      </c>
      <c r="M50" s="1315"/>
      <c r="O50" s="793" t="s">
        <v>2830</v>
      </c>
    </row>
    <row r="51" spans="2:15" ht="12" customHeight="1" x14ac:dyDescent="0.2">
      <c r="B51" s="199" t="s">
        <v>3946</v>
      </c>
      <c r="C51" s="199" t="s">
        <v>3502</v>
      </c>
      <c r="D51" s="255" t="s">
        <v>1426</v>
      </c>
      <c r="E51" s="229"/>
      <c r="F51" s="230"/>
      <c r="G51" s="265"/>
      <c r="H51" s="265"/>
      <c r="I51" s="230"/>
      <c r="J51" s="256"/>
      <c r="K51" s="231"/>
      <c r="L51" s="2139" t="s">
        <v>3419</v>
      </c>
      <c r="M51" s="1360"/>
    </row>
    <row r="52" spans="2:15" ht="12" customHeight="1" x14ac:dyDescent="0.2">
      <c r="B52" s="201" t="s">
        <v>946</v>
      </c>
      <c r="C52" s="201" t="s">
        <v>1428</v>
      </c>
      <c r="D52" s="257" t="s">
        <v>1429</v>
      </c>
      <c r="E52" s="229"/>
      <c r="F52" s="230"/>
      <c r="G52" s="256"/>
      <c r="H52" s="256"/>
      <c r="I52" s="230"/>
      <c r="J52" s="256"/>
      <c r="K52" s="231"/>
      <c r="L52" s="2129" t="s">
        <v>3983</v>
      </c>
      <c r="M52" s="1619"/>
    </row>
    <row r="53" spans="2:15" ht="12" customHeight="1" x14ac:dyDescent="0.2">
      <c r="B53" s="214"/>
      <c r="C53" s="214"/>
      <c r="D53" s="177"/>
      <c r="E53" s="229"/>
      <c r="F53" s="230"/>
      <c r="G53" s="256"/>
      <c r="H53" s="256"/>
      <c r="I53" s="230"/>
      <c r="J53" s="256"/>
      <c r="K53" s="231"/>
      <c r="L53" s="2130" t="s">
        <v>908</v>
      </c>
      <c r="M53" s="1362"/>
    </row>
    <row r="54" spans="2:15" ht="12" customHeight="1" x14ac:dyDescent="0.2">
      <c r="B54" s="196">
        <f>D45</f>
        <v>0</v>
      </c>
      <c r="C54" s="196">
        <f>G45</f>
        <v>0</v>
      </c>
      <c r="D54" s="205">
        <f>SUM(B54:C54)</f>
        <v>0</v>
      </c>
      <c r="E54" s="232"/>
      <c r="F54" s="233"/>
      <c r="G54" s="233"/>
      <c r="H54" s="233"/>
      <c r="I54" s="266"/>
      <c r="J54" s="267"/>
      <c r="K54" s="268"/>
      <c r="L54" s="2131">
        <f>O47</f>
        <v>59.66</v>
      </c>
      <c r="M54" s="2132"/>
    </row>
    <row r="55" spans="2:15" ht="12" customHeight="1" x14ac:dyDescent="0.2">
      <c r="B55" s="269" t="s">
        <v>1676</v>
      </c>
      <c r="C55" s="270"/>
      <c r="D55" s="270"/>
      <c r="E55" s="270"/>
      <c r="F55" s="270"/>
      <c r="G55" s="270"/>
      <c r="H55" s="270"/>
      <c r="I55" s="270"/>
      <c r="J55" s="270"/>
      <c r="K55" s="270"/>
      <c r="L55" s="270"/>
      <c r="M55" s="271"/>
    </row>
  </sheetData>
  <mergeCells count="19">
    <mergeCell ref="L52:M52"/>
    <mergeCell ref="L53:M53"/>
    <mergeCell ref="L54:M54"/>
    <mergeCell ref="B21:G21"/>
    <mergeCell ref="M43:M45"/>
    <mergeCell ref="G50:H50"/>
    <mergeCell ref="L50:M50"/>
    <mergeCell ref="B50:D50"/>
    <mergeCell ref="L51:M51"/>
    <mergeCell ref="B41:D41"/>
    <mergeCell ref="E41:G41"/>
    <mergeCell ref="B30:E30"/>
    <mergeCell ref="H41:L41"/>
    <mergeCell ref="L30:M30"/>
    <mergeCell ref="B2:M2"/>
    <mergeCell ref="B3:M3"/>
    <mergeCell ref="H21:J21"/>
    <mergeCell ref="B5:M5"/>
    <mergeCell ref="B12:M12"/>
  </mergeCells>
  <phoneticPr fontId="27" type="noConversion"/>
  <pageMargins left="0.75" right="0.75" top="1" bottom="1" header="0.5" footer="0.5"/>
  <pageSetup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5"/>
  <dimension ref="B2:R32"/>
  <sheetViews>
    <sheetView workbookViewId="0">
      <selection activeCell="K18" sqref="K18:M22"/>
    </sheetView>
  </sheetViews>
  <sheetFormatPr defaultColWidth="8.7109375" defaultRowHeight="12" customHeight="1" x14ac:dyDescent="0.2"/>
  <cols>
    <col min="1" max="1" width="3.5703125" style="174" customWidth="1"/>
    <col min="2" max="16384" width="8.7109375" style="174"/>
  </cols>
  <sheetData>
    <row r="2" spans="2:18" ht="12" customHeight="1" x14ac:dyDescent="0.2">
      <c r="B2" s="2116" t="s">
        <v>3987</v>
      </c>
      <c r="C2" s="1960"/>
      <c r="D2" s="1960"/>
      <c r="E2" s="1960"/>
      <c r="F2" s="1960"/>
      <c r="G2" s="1960"/>
      <c r="H2" s="1960"/>
      <c r="I2" s="1960"/>
      <c r="J2" s="1960"/>
      <c r="K2" s="1960"/>
      <c r="L2" s="1960"/>
      <c r="M2" s="2117"/>
    </row>
    <row r="3" spans="2:18" ht="12" customHeight="1" x14ac:dyDescent="0.2">
      <c r="B3" s="2118" t="s">
        <v>2924</v>
      </c>
      <c r="C3" s="2119"/>
      <c r="D3" s="2119"/>
      <c r="E3" s="2119"/>
      <c r="F3" s="2119"/>
      <c r="G3" s="2119"/>
      <c r="H3" s="2119"/>
      <c r="I3" s="2119"/>
      <c r="J3" s="2119"/>
      <c r="K3" s="2119"/>
      <c r="L3" s="2119"/>
      <c r="M3" s="2120"/>
    </row>
    <row r="4" spans="2:18" ht="12" customHeight="1" x14ac:dyDescent="0.2">
      <c r="B4" s="179"/>
      <c r="C4" s="180"/>
      <c r="D4" s="180"/>
      <c r="E4" s="454" t="s">
        <v>476</v>
      </c>
      <c r="F4" s="685" t="str">
        <f>'Wrk A'!$H$5</f>
        <v>Block</v>
      </c>
      <c r="G4" s="919" t="s">
        <v>3985</v>
      </c>
      <c r="H4" s="920" t="str">
        <f>'Wrk A'!C15</f>
        <v>Jul &amp; Aug</v>
      </c>
      <c r="I4" s="919" t="s">
        <v>1079</v>
      </c>
      <c r="J4" s="951">
        <f>'Wrk A'!K16</f>
        <v>0.5</v>
      </c>
      <c r="K4" s="180"/>
      <c r="L4" s="180"/>
      <c r="M4" s="181"/>
    </row>
    <row r="5" spans="2:18" ht="12" customHeight="1" x14ac:dyDescent="0.2">
      <c r="B5" s="2113" t="s">
        <v>4105</v>
      </c>
      <c r="C5" s="2114"/>
      <c r="D5" s="2114"/>
      <c r="E5" s="2114"/>
      <c r="F5" s="2114"/>
      <c r="G5" s="2114"/>
      <c r="H5" s="2114"/>
      <c r="I5" s="2114"/>
      <c r="J5" s="2114"/>
      <c r="K5" s="2114"/>
      <c r="L5" s="2114"/>
      <c r="M5" s="2115"/>
    </row>
    <row r="6" spans="2:18" ht="12" customHeight="1" x14ac:dyDescent="0.2">
      <c r="B6" s="182" t="s">
        <v>3985</v>
      </c>
      <c r="C6" s="182" t="s">
        <v>1079</v>
      </c>
      <c r="D6" s="183" t="s">
        <v>3943</v>
      </c>
      <c r="E6" s="183" t="s">
        <v>3482</v>
      </c>
      <c r="F6" s="183" t="s">
        <v>3944</v>
      </c>
      <c r="G6" s="183" t="s">
        <v>3945</v>
      </c>
      <c r="H6" s="183" t="s">
        <v>3502</v>
      </c>
      <c r="I6" s="225"/>
      <c r="J6" s="272"/>
      <c r="K6" s="272"/>
      <c r="L6" s="227"/>
      <c r="M6" s="183" t="s">
        <v>907</v>
      </c>
      <c r="N6" s="184"/>
      <c r="O6" s="228"/>
      <c r="P6" s="185"/>
      <c r="Q6" s="185"/>
      <c r="R6" s="185"/>
    </row>
    <row r="7" spans="2:18" ht="12" customHeight="1" x14ac:dyDescent="0.2">
      <c r="B7" s="186"/>
      <c r="C7" s="186"/>
      <c r="D7" s="187" t="s">
        <v>3949</v>
      </c>
      <c r="E7" s="187" t="s">
        <v>3950</v>
      </c>
      <c r="F7" s="187" t="s">
        <v>3471</v>
      </c>
      <c r="G7" s="187" t="s">
        <v>3484</v>
      </c>
      <c r="H7" s="187" t="s">
        <v>948</v>
      </c>
      <c r="I7" s="229"/>
      <c r="J7" s="256"/>
      <c r="K7" s="256"/>
      <c r="L7" s="231"/>
      <c r="M7" s="187" t="s">
        <v>3984</v>
      </c>
      <c r="N7" s="185"/>
      <c r="O7" s="768" t="s">
        <v>1712</v>
      </c>
      <c r="P7" s="185"/>
      <c r="Q7" s="185"/>
      <c r="R7" s="185"/>
    </row>
    <row r="8" spans="2:18" ht="12" customHeight="1" x14ac:dyDescent="0.2">
      <c r="B8" s="251" t="str">
        <f>'DAC-1'!B8</f>
        <v>Jul &amp; Aug</v>
      </c>
      <c r="C8" s="194">
        <f>'DAC-1'!C8</f>
        <v>0.5</v>
      </c>
      <c r="D8" s="556">
        <f>'DAC-1'!F8</f>
        <v>75</v>
      </c>
      <c r="E8" s="541">
        <f>'DAC-1'!H8</f>
        <v>0.93</v>
      </c>
      <c r="F8" s="556">
        <f>'DAC-1'!G8</f>
        <v>30</v>
      </c>
      <c r="G8" s="260"/>
      <c r="H8" s="188">
        <f>G8</f>
        <v>0</v>
      </c>
      <c r="I8" s="232"/>
      <c r="J8" s="273"/>
      <c r="K8" s="267"/>
      <c r="L8" s="234"/>
      <c r="M8" s="545">
        <v>80</v>
      </c>
      <c r="O8" s="766" t="e">
        <f>100*E31</f>
        <v>#DIV/0!</v>
      </c>
      <c r="P8" s="203" t="s">
        <v>2343</v>
      </c>
      <c r="Q8" s="185"/>
      <c r="R8" s="185"/>
    </row>
    <row r="9" spans="2:18" ht="12" customHeight="1" x14ac:dyDescent="0.2">
      <c r="B9" s="179" t="s">
        <v>2508</v>
      </c>
      <c r="C9" s="180"/>
      <c r="D9" s="180"/>
      <c r="E9" s="180"/>
      <c r="F9" s="180"/>
      <c r="G9" s="180"/>
      <c r="H9" s="180"/>
      <c r="I9" s="180"/>
      <c r="J9" s="180"/>
      <c r="K9" s="180"/>
      <c r="L9" s="180"/>
      <c r="M9" s="181"/>
      <c r="O9" s="185" t="s">
        <v>2509</v>
      </c>
    </row>
    <row r="10" spans="2:18" ht="12" customHeight="1" x14ac:dyDescent="0.2">
      <c r="B10" s="179" t="s">
        <v>1675</v>
      </c>
      <c r="C10" s="180"/>
      <c r="D10" s="180"/>
      <c r="E10" s="180"/>
      <c r="F10" s="180"/>
      <c r="G10" s="180"/>
      <c r="H10" s="180"/>
      <c r="I10" s="180"/>
      <c r="J10" s="180"/>
      <c r="K10" s="180"/>
      <c r="L10" s="180"/>
      <c r="M10" s="181"/>
    </row>
    <row r="11" spans="2:18" ht="12" customHeight="1" x14ac:dyDescent="0.2">
      <c r="B11" s="179"/>
      <c r="C11" s="180"/>
      <c r="D11" s="180"/>
      <c r="E11" s="180"/>
      <c r="F11" s="180"/>
      <c r="G11" s="180"/>
      <c r="H11" s="180"/>
      <c r="I11" s="180"/>
      <c r="J11" s="180"/>
      <c r="K11" s="180"/>
      <c r="L11" s="180"/>
      <c r="M11" s="181"/>
      <c r="O11" s="848"/>
      <c r="P11" s="795" t="s">
        <v>3864</v>
      </c>
    </row>
    <row r="12" spans="2:18" ht="12" customHeight="1" x14ac:dyDescent="0.2">
      <c r="B12" s="2113" t="s">
        <v>925</v>
      </c>
      <c r="C12" s="2114"/>
      <c r="D12" s="2114"/>
      <c r="E12" s="2114"/>
      <c r="F12" s="2114"/>
      <c r="G12" s="2114"/>
      <c r="H12" s="2114"/>
      <c r="I12" s="2114"/>
      <c r="J12" s="2114"/>
      <c r="K12" s="2114"/>
      <c r="L12" s="2114"/>
      <c r="M12" s="2115"/>
      <c r="O12" s="661" t="str">
        <f>J31</f>
        <v>Zero</v>
      </c>
      <c r="P12" s="174" t="s">
        <v>3865</v>
      </c>
    </row>
    <row r="13" spans="2:18" ht="12" customHeight="1" x14ac:dyDescent="0.2">
      <c r="B13" s="189" t="s">
        <v>926</v>
      </c>
      <c r="C13" s="190"/>
      <c r="D13" s="182" t="s">
        <v>943</v>
      </c>
      <c r="E13" s="182" t="s">
        <v>943</v>
      </c>
      <c r="F13" s="236"/>
      <c r="G13" s="237"/>
      <c r="H13" s="237"/>
      <c r="I13" s="237"/>
      <c r="J13" s="237"/>
      <c r="K13" s="237"/>
      <c r="L13" s="237"/>
      <c r="M13" s="238"/>
      <c r="P13" s="176"/>
    </row>
    <row r="14" spans="2:18" ht="12" customHeight="1" x14ac:dyDescent="0.2">
      <c r="B14" s="192" t="s">
        <v>3496</v>
      </c>
      <c r="C14" s="178"/>
      <c r="D14" s="186" t="s">
        <v>3497</v>
      </c>
      <c r="E14" s="186" t="s">
        <v>927</v>
      </c>
      <c r="F14" s="239"/>
      <c r="G14" s="240"/>
      <c r="H14" s="240"/>
      <c r="I14" s="240"/>
      <c r="J14" s="240"/>
      <c r="K14" s="240"/>
      <c r="L14" s="240"/>
      <c r="M14" s="241"/>
      <c r="O14" s="793" t="s">
        <v>906</v>
      </c>
    </row>
    <row r="15" spans="2:18" ht="12" customHeight="1" x14ac:dyDescent="0.2">
      <c r="B15" s="543"/>
      <c r="C15" s="544"/>
      <c r="D15" s="545"/>
      <c r="E15" s="196">
        <f>-D15*(M8-D8)</f>
        <v>0</v>
      </c>
      <c r="F15" s="242"/>
      <c r="G15" s="243"/>
      <c r="H15" s="244"/>
      <c r="I15" s="244"/>
      <c r="J15" s="244"/>
      <c r="K15" s="245"/>
      <c r="L15" s="246"/>
      <c r="M15" s="247"/>
      <c r="O15" s="793" t="s">
        <v>1445</v>
      </c>
    </row>
    <row r="16" spans="2:18" ht="12" customHeight="1" x14ac:dyDescent="0.2">
      <c r="B16" s="216" t="s">
        <v>1677</v>
      </c>
      <c r="C16" s="180"/>
      <c r="D16" s="180"/>
      <c r="E16" s="180"/>
      <c r="F16" s="180"/>
      <c r="G16" s="180"/>
      <c r="H16" s="180"/>
      <c r="I16" s="180"/>
      <c r="J16" s="180"/>
      <c r="K16" s="180"/>
      <c r="L16" s="180"/>
      <c r="M16" s="197"/>
    </row>
    <row r="17" spans="2:13" ht="12" customHeight="1" x14ac:dyDescent="0.2">
      <c r="B17" s="179"/>
      <c r="C17" s="180"/>
      <c r="D17" s="180"/>
      <c r="E17" s="180"/>
      <c r="F17" s="180"/>
      <c r="G17" s="180"/>
      <c r="H17" s="180"/>
      <c r="I17" s="180"/>
      <c r="J17" s="180"/>
      <c r="K17" s="180"/>
      <c r="L17" s="180"/>
      <c r="M17" s="181"/>
    </row>
    <row r="18" spans="2:13" ht="12" customHeight="1" x14ac:dyDescent="0.2">
      <c r="B18" s="2113" t="s">
        <v>418</v>
      </c>
      <c r="C18" s="2114"/>
      <c r="D18" s="2114"/>
      <c r="E18" s="2114"/>
      <c r="F18" s="2000"/>
      <c r="G18" s="1350"/>
      <c r="H18" s="2113" t="s">
        <v>419</v>
      </c>
      <c r="I18" s="2114"/>
      <c r="J18" s="2114"/>
      <c r="K18" s="264"/>
      <c r="L18" s="968"/>
      <c r="M18" s="969"/>
    </row>
    <row r="19" spans="2:13" ht="12" customHeight="1" x14ac:dyDescent="0.2">
      <c r="B19" s="200" t="s">
        <v>1055</v>
      </c>
      <c r="C19" s="200" t="s">
        <v>354</v>
      </c>
      <c r="D19" s="202" t="s">
        <v>942</v>
      </c>
      <c r="E19" s="201" t="s">
        <v>941</v>
      </c>
      <c r="F19" s="202" t="s">
        <v>3947</v>
      </c>
      <c r="G19" s="202" t="s">
        <v>942</v>
      </c>
      <c r="H19" s="200" t="s">
        <v>3502</v>
      </c>
      <c r="I19" s="200" t="s">
        <v>3502</v>
      </c>
      <c r="J19" s="248" t="s">
        <v>3502</v>
      </c>
      <c r="K19" s="193"/>
      <c r="L19" s="256"/>
      <c r="M19" s="903"/>
    </row>
    <row r="20" spans="2:13" ht="12" customHeight="1" x14ac:dyDescent="0.2">
      <c r="B20" s="202" t="s">
        <v>353</v>
      </c>
      <c r="C20" s="202" t="s">
        <v>3628</v>
      </c>
      <c r="D20" s="202" t="s">
        <v>2463</v>
      </c>
      <c r="E20" s="202" t="s">
        <v>944</v>
      </c>
      <c r="F20" s="202" t="s">
        <v>3502</v>
      </c>
      <c r="G20" s="202" t="s">
        <v>3501</v>
      </c>
      <c r="H20" s="202" t="s">
        <v>945</v>
      </c>
      <c r="I20" s="202" t="s">
        <v>1095</v>
      </c>
      <c r="J20" s="249" t="s">
        <v>946</v>
      </c>
      <c r="K20" s="193"/>
      <c r="L20" s="256"/>
      <c r="M20" s="903"/>
    </row>
    <row r="21" spans="2:13" ht="12" customHeight="1" x14ac:dyDescent="0.2">
      <c r="B21" s="187" t="s">
        <v>860</v>
      </c>
      <c r="C21" s="891" t="s">
        <v>2117</v>
      </c>
      <c r="D21" s="187" t="s">
        <v>2302</v>
      </c>
      <c r="E21" s="186" t="s">
        <v>1179</v>
      </c>
      <c r="F21" s="187" t="s">
        <v>948</v>
      </c>
      <c r="G21" s="187"/>
      <c r="H21" s="187"/>
      <c r="I21" s="187" t="s">
        <v>951</v>
      </c>
      <c r="J21" s="250"/>
      <c r="K21" s="193"/>
      <c r="L21" s="256"/>
      <c r="M21" s="903"/>
    </row>
    <row r="22" spans="2:13" ht="12" customHeight="1" x14ac:dyDescent="0.2">
      <c r="B22" s="542">
        <f>'Wrk E'!P13</f>
        <v>0</v>
      </c>
      <c r="C22" s="967">
        <v>0.2</v>
      </c>
      <c r="D22" s="188">
        <f>B22*C22</f>
        <v>0</v>
      </c>
      <c r="E22" s="260"/>
      <c r="F22" s="188">
        <f>H8</f>
        <v>0</v>
      </c>
      <c r="G22" s="205" t="e">
        <f>(D22+E22)/F22</f>
        <v>#DIV/0!</v>
      </c>
      <c r="H22" s="546"/>
      <c r="I22" s="546"/>
      <c r="J22" s="205">
        <f>-I22*(M8-D8)</f>
        <v>0</v>
      </c>
      <c r="K22" s="970"/>
      <c r="L22" s="267"/>
      <c r="M22" s="907"/>
    </row>
    <row r="23" spans="2:13" ht="12" customHeight="1" x14ac:dyDescent="0.2">
      <c r="B23" s="179" t="s">
        <v>3012</v>
      </c>
      <c r="C23" s="180"/>
      <c r="D23" s="180"/>
      <c r="E23" s="180"/>
      <c r="F23" s="180"/>
      <c r="G23" s="180"/>
      <c r="H23" s="180"/>
      <c r="I23" s="180"/>
      <c r="J23" s="180"/>
      <c r="K23" s="180"/>
      <c r="L23" s="180"/>
      <c r="M23" s="181"/>
    </row>
    <row r="24" spans="2:13" ht="12" customHeight="1" x14ac:dyDescent="0.2">
      <c r="B24" s="252" t="s">
        <v>3086</v>
      </c>
      <c r="C24" s="208"/>
      <c r="D24" s="208"/>
      <c r="E24" s="208"/>
      <c r="F24" s="208"/>
      <c r="G24" s="208"/>
      <c r="H24" s="208"/>
      <c r="I24" s="180"/>
      <c r="J24" s="180"/>
      <c r="K24" s="180"/>
      <c r="L24" s="180"/>
      <c r="M24" s="181"/>
    </row>
    <row r="25" spans="2:13" ht="12" customHeight="1" x14ac:dyDescent="0.2">
      <c r="B25" s="252" t="s">
        <v>3085</v>
      </c>
      <c r="C25" s="208"/>
      <c r="D25" s="208"/>
      <c r="E25" s="208"/>
      <c r="F25" s="208"/>
      <c r="G25" s="208"/>
      <c r="H25" s="208"/>
      <c r="I25" s="208"/>
      <c r="J25" s="208"/>
      <c r="K25" s="208"/>
      <c r="L25" s="208"/>
      <c r="M25" s="181"/>
    </row>
    <row r="26" spans="2:13" ht="12" customHeight="1" x14ac:dyDescent="0.2">
      <c r="B26" s="179"/>
      <c r="C26" s="180"/>
      <c r="D26" s="180"/>
      <c r="E26" s="180"/>
      <c r="F26" s="180"/>
      <c r="G26" s="180"/>
      <c r="H26" s="180"/>
      <c r="I26" s="180"/>
      <c r="J26" s="180"/>
      <c r="K26" s="180"/>
      <c r="L26" s="180"/>
      <c r="M26" s="181"/>
    </row>
    <row r="27" spans="2:13" ht="12" customHeight="1" x14ac:dyDescent="0.2">
      <c r="B27" s="2113" t="s">
        <v>3361</v>
      </c>
      <c r="C27" s="2138"/>
      <c r="D27" s="2138"/>
      <c r="E27" s="2138"/>
      <c r="F27" s="253"/>
      <c r="G27" s="226"/>
      <c r="H27" s="905"/>
      <c r="I27" s="2154" t="s">
        <v>1446</v>
      </c>
      <c r="J27" s="1360"/>
      <c r="K27" s="2137" t="s">
        <v>2925</v>
      </c>
      <c r="L27" s="2143"/>
      <c r="M27" s="2144"/>
    </row>
    <row r="28" spans="2:13" ht="12" customHeight="1" x14ac:dyDescent="0.2">
      <c r="B28" s="199" t="s">
        <v>943</v>
      </c>
      <c r="C28" s="199" t="s">
        <v>942</v>
      </c>
      <c r="D28" s="199" t="s">
        <v>3502</v>
      </c>
      <c r="E28" s="255" t="s">
        <v>1426</v>
      </c>
      <c r="F28" s="229"/>
      <c r="G28" s="898"/>
      <c r="H28" s="231"/>
      <c r="I28" s="757" t="s">
        <v>3419</v>
      </c>
      <c r="J28" s="183" t="s">
        <v>3358</v>
      </c>
      <c r="K28" s="2145" t="s">
        <v>2926</v>
      </c>
      <c r="L28" s="2146"/>
      <c r="M28" s="2147"/>
    </row>
    <row r="29" spans="2:13" ht="12" customHeight="1" x14ac:dyDescent="0.2">
      <c r="B29" s="201" t="s">
        <v>1428</v>
      </c>
      <c r="C29" s="201" t="s">
        <v>1428</v>
      </c>
      <c r="D29" s="201" t="s">
        <v>946</v>
      </c>
      <c r="E29" s="257" t="s">
        <v>1429</v>
      </c>
      <c r="F29" s="229"/>
      <c r="G29" s="900"/>
      <c r="H29" s="231"/>
      <c r="I29" s="758" t="s">
        <v>3984</v>
      </c>
      <c r="J29" s="212" t="s">
        <v>3472</v>
      </c>
      <c r="K29" s="2148"/>
      <c r="L29" s="2149"/>
      <c r="M29" s="2150"/>
    </row>
    <row r="30" spans="2:13" ht="12" customHeight="1" x14ac:dyDescent="0.2">
      <c r="B30" s="214"/>
      <c r="C30" s="214"/>
      <c r="D30" s="214"/>
      <c r="E30" s="177"/>
      <c r="F30" s="229"/>
      <c r="G30" s="900"/>
      <c r="H30" s="231"/>
      <c r="I30" s="759" t="s">
        <v>908</v>
      </c>
      <c r="J30" s="215" t="s">
        <v>3422</v>
      </c>
      <c r="K30" s="2148"/>
      <c r="L30" s="2149"/>
      <c r="M30" s="2150"/>
    </row>
    <row r="31" spans="2:13" ht="12" customHeight="1" x14ac:dyDescent="0.2">
      <c r="B31" s="196">
        <f>E15</f>
        <v>0</v>
      </c>
      <c r="C31" s="196" t="e">
        <f>G22</f>
        <v>#DIV/0!</v>
      </c>
      <c r="D31" s="196">
        <f>J22</f>
        <v>0</v>
      </c>
      <c r="E31" s="258" t="e">
        <f>SUM(B31:D31)</f>
        <v>#DIV/0!</v>
      </c>
      <c r="F31" s="232"/>
      <c r="G31" s="906"/>
      <c r="H31" s="234"/>
      <c r="I31" s="772">
        <f>O11</f>
        <v>0</v>
      </c>
      <c r="J31" s="556" t="s">
        <v>1432</v>
      </c>
      <c r="K31" s="2151"/>
      <c r="L31" s="2152"/>
      <c r="M31" s="2153"/>
    </row>
    <row r="32" spans="2:13" ht="12" customHeight="1" x14ac:dyDescent="0.2">
      <c r="B32" s="274" t="s">
        <v>1676</v>
      </c>
      <c r="C32" s="275"/>
      <c r="D32" s="275"/>
      <c r="E32" s="275"/>
      <c r="F32" s="275"/>
      <c r="G32" s="275"/>
      <c r="H32" s="275"/>
      <c r="I32" s="275"/>
      <c r="J32" s="270"/>
      <c r="K32" s="270"/>
      <c r="L32" s="270"/>
      <c r="M32" s="271"/>
    </row>
  </sheetData>
  <mergeCells count="10">
    <mergeCell ref="B27:E27"/>
    <mergeCell ref="K27:M27"/>
    <mergeCell ref="K28:M31"/>
    <mergeCell ref="I27:J27"/>
    <mergeCell ref="B2:M2"/>
    <mergeCell ref="B3:M3"/>
    <mergeCell ref="H18:J18"/>
    <mergeCell ref="B5:M5"/>
    <mergeCell ref="B12:M12"/>
    <mergeCell ref="B18:G18"/>
  </mergeCells>
  <phoneticPr fontId="27" type="noConversion"/>
  <pageMargins left="0.75" right="0.75" top="1" bottom="1" header="0.5" footer="0.5"/>
  <pageSetup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6"/>
  <dimension ref="B2:S37"/>
  <sheetViews>
    <sheetView topLeftCell="B1" workbookViewId="0">
      <selection activeCell="C31" sqref="C31"/>
    </sheetView>
  </sheetViews>
  <sheetFormatPr defaultColWidth="8.7109375" defaultRowHeight="12" customHeight="1" x14ac:dyDescent="0.2"/>
  <cols>
    <col min="1" max="1" width="3.5703125" style="174" customWidth="1"/>
    <col min="2" max="16384" width="8.7109375" style="174"/>
  </cols>
  <sheetData>
    <row r="2" spans="2:19" ht="12" customHeight="1" x14ac:dyDescent="0.2">
      <c r="B2" s="2116" t="s">
        <v>1691</v>
      </c>
      <c r="C2" s="1960"/>
      <c r="D2" s="1960"/>
      <c r="E2" s="1960"/>
      <c r="F2" s="1960"/>
      <c r="G2" s="1960"/>
      <c r="H2" s="1960"/>
      <c r="I2" s="1960"/>
      <c r="J2" s="1960"/>
      <c r="K2" s="1960"/>
      <c r="L2" s="1960"/>
      <c r="M2" s="2117"/>
      <c r="O2" s="39"/>
      <c r="P2" s="1414" t="s">
        <v>4110</v>
      </c>
      <c r="Q2" s="1419"/>
      <c r="R2" s="1415"/>
    </row>
    <row r="3" spans="2:19" ht="12" customHeight="1" x14ac:dyDescent="0.2">
      <c r="B3" s="2118" t="s">
        <v>3736</v>
      </c>
      <c r="C3" s="2119"/>
      <c r="D3" s="2119"/>
      <c r="E3" s="2119"/>
      <c r="F3" s="2119"/>
      <c r="G3" s="2119"/>
      <c r="H3" s="2119"/>
      <c r="I3" s="2119"/>
      <c r="J3" s="2119"/>
      <c r="K3" s="2119"/>
      <c r="L3" s="2119"/>
      <c r="M3" s="2120"/>
      <c r="P3" s="513" t="s">
        <v>4111</v>
      </c>
      <c r="Q3" s="513" t="s">
        <v>4112</v>
      </c>
      <c r="R3" s="513" t="s">
        <v>4113</v>
      </c>
    </row>
    <row r="4" spans="2:19" ht="12" customHeight="1" x14ac:dyDescent="0.2">
      <c r="B4" s="220"/>
      <c r="C4" s="221"/>
      <c r="D4" s="221"/>
      <c r="E4" s="454" t="s">
        <v>476</v>
      </c>
      <c r="F4" s="685" t="str">
        <f>'Wrk A'!$H$5</f>
        <v>Block</v>
      </c>
      <c r="G4" s="919" t="s">
        <v>3985</v>
      </c>
      <c r="H4" s="920" t="str">
        <f>'Wrk A'!C15</f>
        <v>Jul &amp; Aug</v>
      </c>
      <c r="I4" s="919" t="s">
        <v>1079</v>
      </c>
      <c r="J4" s="951">
        <f>'Wrk A'!K16</f>
        <v>0.5</v>
      </c>
      <c r="K4" s="221"/>
      <c r="L4" s="221"/>
      <c r="M4" s="222"/>
      <c r="O4" s="856" t="s">
        <v>4115</v>
      </c>
      <c r="P4" s="858"/>
      <c r="Q4" s="858"/>
      <c r="R4" s="858"/>
      <c r="S4" s="65" t="s">
        <v>998</v>
      </c>
    </row>
    <row r="5" spans="2:19" ht="12" customHeight="1" x14ac:dyDescent="0.2">
      <c r="B5" s="216" t="s">
        <v>4121</v>
      </c>
      <c r="C5" s="218"/>
      <c r="D5" s="218"/>
      <c r="E5" s="218"/>
      <c r="F5" s="218"/>
      <c r="G5" s="218"/>
      <c r="H5" s="218"/>
      <c r="I5" s="218"/>
      <c r="J5" s="218"/>
      <c r="K5" s="218"/>
      <c r="L5" s="218"/>
      <c r="M5" s="219"/>
      <c r="O5" s="856" t="s">
        <v>4114</v>
      </c>
      <c r="P5" s="391"/>
      <c r="Q5" s="391"/>
      <c r="R5" s="391"/>
      <c r="S5" s="575">
        <f>SUM(P5:R5)</f>
        <v>0</v>
      </c>
    </row>
    <row r="6" spans="2:19" ht="12" customHeight="1" x14ac:dyDescent="0.2">
      <c r="B6" s="471" t="s">
        <v>1692</v>
      </c>
      <c r="C6" s="180"/>
      <c r="D6" s="180"/>
      <c r="E6" s="180"/>
      <c r="F6" s="180"/>
      <c r="G6" s="180"/>
      <c r="H6" s="180"/>
      <c r="I6" s="180"/>
      <c r="J6" s="180"/>
      <c r="K6" s="180"/>
      <c r="L6" s="180"/>
      <c r="M6" s="181"/>
      <c r="O6" s="857" t="s">
        <v>4116</v>
      </c>
      <c r="P6" s="391"/>
      <c r="Q6" s="391"/>
      <c r="R6" s="391"/>
      <c r="S6" s="575">
        <f>SUM(P6:R6)</f>
        <v>0</v>
      </c>
    </row>
    <row r="7" spans="2:19" ht="12" customHeight="1" x14ac:dyDescent="0.2">
      <c r="B7" s="471" t="s">
        <v>2826</v>
      </c>
      <c r="C7" s="180"/>
      <c r="D7" s="180"/>
      <c r="E7" s="180"/>
      <c r="F7" s="180"/>
      <c r="G7" s="180"/>
      <c r="H7" s="180"/>
      <c r="I7" s="180"/>
      <c r="J7" s="180"/>
      <c r="K7" s="180"/>
      <c r="L7" s="180"/>
      <c r="M7" s="181"/>
      <c r="R7" s="198" t="s">
        <v>3614</v>
      </c>
      <c r="S7" s="835">
        <f>S5+S6</f>
        <v>0</v>
      </c>
    </row>
    <row r="8" spans="2:19" ht="12" customHeight="1" x14ac:dyDescent="0.2">
      <c r="B8" s="471" t="s">
        <v>2827</v>
      </c>
      <c r="C8" s="180"/>
      <c r="D8" s="180"/>
      <c r="E8" s="180"/>
      <c r="F8" s="180"/>
      <c r="G8" s="180"/>
      <c r="H8" s="180"/>
      <c r="I8" s="180"/>
      <c r="J8" s="180"/>
      <c r="K8" s="180"/>
      <c r="L8" s="180"/>
      <c r="M8" s="181"/>
    </row>
    <row r="9" spans="2:19" ht="12" customHeight="1" x14ac:dyDescent="0.2">
      <c r="B9" s="471" t="s">
        <v>4120</v>
      </c>
      <c r="C9" s="180"/>
      <c r="D9" s="180"/>
      <c r="E9" s="180"/>
      <c r="F9" s="180"/>
      <c r="G9" s="180"/>
      <c r="H9" s="180"/>
      <c r="I9" s="180"/>
      <c r="J9" s="180"/>
      <c r="L9" s="798" t="s">
        <v>2589</v>
      </c>
      <c r="M9" s="868"/>
    </row>
    <row r="10" spans="2:19" ht="12" customHeight="1" x14ac:dyDescent="0.2">
      <c r="B10" s="471" t="s">
        <v>905</v>
      </c>
      <c r="C10" s="478"/>
      <c r="D10" s="478"/>
      <c r="E10" s="478"/>
      <c r="F10" s="478"/>
      <c r="G10" s="180"/>
      <c r="H10" s="180"/>
      <c r="I10" s="180"/>
      <c r="J10" s="180"/>
      <c r="K10" s="180"/>
      <c r="L10" s="798" t="s">
        <v>2885</v>
      </c>
      <c r="M10" s="868"/>
    </row>
    <row r="11" spans="2:19" ht="12" customHeight="1" x14ac:dyDescent="0.2">
      <c r="B11" s="471" t="s">
        <v>4104</v>
      </c>
      <c r="C11" s="478"/>
      <c r="D11" s="478"/>
      <c r="E11" s="478"/>
      <c r="F11" s="478"/>
      <c r="G11" s="180"/>
      <c r="H11" s="180"/>
      <c r="I11" s="180"/>
      <c r="J11" s="180"/>
      <c r="K11" s="180"/>
      <c r="L11" s="798" t="s">
        <v>2886</v>
      </c>
      <c r="M11" s="868"/>
    </row>
    <row r="12" spans="2:19" ht="12" customHeight="1" x14ac:dyDescent="0.2">
      <c r="B12" s="192" t="s">
        <v>2438</v>
      </c>
      <c r="C12" s="797"/>
      <c r="D12" s="797"/>
      <c r="E12" s="797"/>
      <c r="F12" s="797"/>
      <c r="G12" s="221"/>
      <c r="H12" s="221"/>
      <c r="I12" s="221"/>
      <c r="J12" s="221"/>
      <c r="K12" s="221"/>
      <c r="L12" s="221"/>
      <c r="M12" s="222"/>
    </row>
    <row r="13" spans="2:19" ht="12" customHeight="1" x14ac:dyDescent="0.2">
      <c r="B13" s="203"/>
      <c r="C13" s="175"/>
      <c r="D13" s="175"/>
      <c r="E13" s="175"/>
      <c r="F13" s="175"/>
    </row>
    <row r="14" spans="2:19" ht="12" customHeight="1" x14ac:dyDescent="0.2">
      <c r="B14" s="2159" t="s">
        <v>3681</v>
      </c>
      <c r="C14" s="2160"/>
      <c r="D14" s="2160"/>
      <c r="E14" s="2160"/>
      <c r="F14" s="2160"/>
      <c r="G14" s="2160"/>
      <c r="H14" s="2160"/>
      <c r="I14" s="2160"/>
      <c r="J14" s="2160"/>
      <c r="K14" s="2160"/>
      <c r="L14" s="2160"/>
      <c r="M14" s="2161"/>
    </row>
    <row r="15" spans="2:19" ht="12" customHeight="1" x14ac:dyDescent="0.2">
      <c r="B15" s="802" t="s">
        <v>1687</v>
      </c>
      <c r="C15" s="803"/>
      <c r="D15" s="803"/>
      <c r="E15" s="803"/>
      <c r="F15" s="804"/>
      <c r="G15" s="806"/>
      <c r="H15" s="806"/>
      <c r="I15" s="802" t="s">
        <v>1688</v>
      </c>
      <c r="J15" s="803"/>
      <c r="K15" s="803"/>
      <c r="L15" s="803"/>
      <c r="M15" s="804"/>
    </row>
    <row r="16" spans="2:19" ht="12" customHeight="1" x14ac:dyDescent="0.2">
      <c r="B16" s="799" t="s">
        <v>3091</v>
      </c>
      <c r="C16" s="183" t="s">
        <v>3419</v>
      </c>
      <c r="D16" s="199" t="s">
        <v>3415</v>
      </c>
      <c r="E16" s="199" t="s">
        <v>1055</v>
      </c>
      <c r="F16" s="199" t="s">
        <v>1302</v>
      </c>
      <c r="G16" s="806"/>
      <c r="H16" s="806"/>
      <c r="I16" s="799" t="s">
        <v>3091</v>
      </c>
      <c r="J16" s="183" t="s">
        <v>3419</v>
      </c>
      <c r="K16" s="199" t="s">
        <v>3415</v>
      </c>
      <c r="L16" s="199" t="s">
        <v>1055</v>
      </c>
      <c r="M16" s="199" t="s">
        <v>1302</v>
      </c>
    </row>
    <row r="17" spans="2:13" ht="12" customHeight="1" x14ac:dyDescent="0.2">
      <c r="B17" s="801" t="s">
        <v>3090</v>
      </c>
      <c r="C17" s="202" t="s">
        <v>3984</v>
      </c>
      <c r="D17" s="201" t="s">
        <v>3416</v>
      </c>
      <c r="E17" s="201" t="s">
        <v>3416</v>
      </c>
      <c r="F17" s="201" t="s">
        <v>2302</v>
      </c>
      <c r="G17" s="806"/>
      <c r="H17" s="806"/>
      <c r="I17" s="801" t="s">
        <v>3090</v>
      </c>
      <c r="J17" s="202" t="s">
        <v>3983</v>
      </c>
      <c r="K17" s="201" t="s">
        <v>3416</v>
      </c>
      <c r="L17" s="201" t="s">
        <v>3416</v>
      </c>
      <c r="M17" s="201" t="s">
        <v>2302</v>
      </c>
    </row>
    <row r="18" spans="2:13" ht="12" customHeight="1" x14ac:dyDescent="0.2">
      <c r="B18" s="511"/>
      <c r="C18" s="187" t="s">
        <v>908</v>
      </c>
      <c r="D18" s="511"/>
      <c r="E18" s="511"/>
      <c r="F18" s="186" t="s">
        <v>1695</v>
      </c>
      <c r="G18" s="806"/>
      <c r="H18" s="806"/>
      <c r="I18" s="511"/>
      <c r="J18" s="187" t="s">
        <v>908</v>
      </c>
      <c r="K18" s="511"/>
      <c r="L18" s="511"/>
      <c r="M18" s="186" t="s">
        <v>1695</v>
      </c>
    </row>
    <row r="19" spans="2:13" ht="12" customHeight="1" x14ac:dyDescent="0.2">
      <c r="B19" s="800" t="s">
        <v>1693</v>
      </c>
      <c r="C19" s="661">
        <f>'DAC-1'!O11</f>
        <v>83</v>
      </c>
      <c r="D19" s="573">
        <f>M10</f>
        <v>0</v>
      </c>
      <c r="E19" s="2121">
        <f>M9</f>
        <v>0</v>
      </c>
      <c r="F19" s="2162" t="e">
        <f>(C19*D19+C20*D20)/E19</f>
        <v>#DIV/0!</v>
      </c>
      <c r="G19" s="806"/>
      <c r="H19" s="806"/>
      <c r="I19" s="800" t="s">
        <v>1693</v>
      </c>
      <c r="J19" s="661">
        <f>'DAC-1'!O47</f>
        <v>59.66</v>
      </c>
      <c r="K19" s="573">
        <f>M10</f>
        <v>0</v>
      </c>
      <c r="L19" s="2121">
        <f>M9</f>
        <v>0</v>
      </c>
      <c r="M19" s="2162" t="e">
        <f>(J19*K19+J20*K20)/L19</f>
        <v>#DIV/0!</v>
      </c>
    </row>
    <row r="20" spans="2:13" ht="12" customHeight="1" x14ac:dyDescent="0.2">
      <c r="B20" s="805" t="s">
        <v>1694</v>
      </c>
      <c r="C20" s="851">
        <f>'DAC-1'!O47</f>
        <v>59.66</v>
      </c>
      <c r="D20" s="809">
        <f>M11</f>
        <v>0</v>
      </c>
      <c r="E20" s="2122"/>
      <c r="F20" s="2163"/>
      <c r="G20" s="806"/>
      <c r="H20" s="806"/>
      <c r="I20" s="805" t="s">
        <v>1694</v>
      </c>
      <c r="J20" s="851">
        <f>'Wrk A'!D25</f>
        <v>70</v>
      </c>
      <c r="K20" s="809">
        <f>M11</f>
        <v>0</v>
      </c>
      <c r="L20" s="2122"/>
      <c r="M20" s="2164"/>
    </row>
    <row r="21" spans="2:13" ht="12" customHeight="1" x14ac:dyDescent="0.2">
      <c r="B21" s="216" t="s">
        <v>3872</v>
      </c>
      <c r="C21" s="218"/>
      <c r="D21" s="218"/>
      <c r="E21" s="218"/>
      <c r="F21" s="218"/>
      <c r="G21" s="218"/>
      <c r="H21" s="218"/>
      <c r="I21" s="218"/>
      <c r="J21" s="218"/>
      <c r="K21" s="218"/>
      <c r="L21" s="218"/>
      <c r="M21" s="219"/>
    </row>
    <row r="22" spans="2:13" ht="12" customHeight="1" x14ac:dyDescent="0.2">
      <c r="B22" s="807" t="s">
        <v>1673</v>
      </c>
      <c r="C22" s="180"/>
      <c r="D22" s="180"/>
      <c r="E22" s="180"/>
      <c r="F22" s="180"/>
      <c r="G22" s="180"/>
      <c r="H22" s="180"/>
      <c r="I22" s="180"/>
      <c r="J22" s="180"/>
      <c r="K22" s="180"/>
      <c r="L22" s="180"/>
      <c r="M22" s="181"/>
    </row>
    <row r="23" spans="2:13" ht="12" customHeight="1" x14ac:dyDescent="0.2">
      <c r="B23" s="886" t="s">
        <v>1674</v>
      </c>
      <c r="C23" s="221"/>
      <c r="D23" s="221"/>
      <c r="E23" s="221"/>
      <c r="F23" s="221"/>
      <c r="G23" s="221"/>
      <c r="H23" s="221"/>
      <c r="I23" s="221"/>
      <c r="J23" s="221"/>
      <c r="K23" s="221"/>
      <c r="L23" s="221"/>
      <c r="M23" s="222"/>
    </row>
    <row r="24" spans="2:13" ht="12" customHeight="1" x14ac:dyDescent="0.2">
      <c r="B24" s="180"/>
      <c r="C24" s="180"/>
      <c r="D24" s="180"/>
      <c r="E24" s="180"/>
      <c r="F24" s="180"/>
      <c r="G24" s="180"/>
      <c r="H24" s="180"/>
      <c r="I24" s="180"/>
      <c r="J24" s="180"/>
      <c r="K24" s="180"/>
      <c r="L24" s="180"/>
      <c r="M24" s="180"/>
    </row>
    <row r="25" spans="2:13" ht="12" customHeight="1" x14ac:dyDescent="0.2">
      <c r="B25" s="2159" t="s">
        <v>3492</v>
      </c>
      <c r="C25" s="2160"/>
      <c r="D25" s="2160"/>
      <c r="E25" s="2160"/>
      <c r="F25" s="2160"/>
      <c r="G25" s="2160"/>
      <c r="H25" s="2160"/>
      <c r="I25" s="2160"/>
      <c r="J25" s="2160"/>
      <c r="K25" s="2160"/>
      <c r="L25" s="2160"/>
      <c r="M25" s="2161"/>
    </row>
    <row r="26" spans="2:13" ht="12" customHeight="1" x14ac:dyDescent="0.2">
      <c r="B26" s="802" t="s">
        <v>3732</v>
      </c>
      <c r="C26" s="803"/>
      <c r="D26" s="803"/>
      <c r="E26" s="803"/>
      <c r="F26" s="804"/>
      <c r="G26" s="225"/>
      <c r="H26" s="226"/>
      <c r="I26" s="815"/>
      <c r="J26" s="815"/>
      <c r="K26" s="815"/>
      <c r="L26" s="815"/>
      <c r="M26" s="816"/>
    </row>
    <row r="27" spans="2:13" ht="12" customHeight="1" x14ac:dyDescent="0.2">
      <c r="B27" s="799" t="s">
        <v>3091</v>
      </c>
      <c r="C27" s="211" t="s">
        <v>3068</v>
      </c>
      <c r="D27" s="199" t="s">
        <v>3415</v>
      </c>
      <c r="E27" s="199" t="s">
        <v>1055</v>
      </c>
      <c r="F27" s="199" t="s">
        <v>1302</v>
      </c>
      <c r="G27" s="229"/>
      <c r="H27" s="230"/>
      <c r="I27" s="817"/>
      <c r="J27" s="265"/>
      <c r="K27" s="256"/>
      <c r="L27" s="256"/>
      <c r="M27" s="818"/>
    </row>
    <row r="28" spans="2:13" ht="12" customHeight="1" x14ac:dyDescent="0.2">
      <c r="B28" s="801" t="s">
        <v>3090</v>
      </c>
      <c r="C28" s="212" t="s">
        <v>2440</v>
      </c>
      <c r="D28" s="201" t="s">
        <v>3416</v>
      </c>
      <c r="E28" s="201" t="s">
        <v>3416</v>
      </c>
      <c r="F28" s="201" t="s">
        <v>2440</v>
      </c>
      <c r="G28" s="229"/>
      <c r="H28" s="230"/>
      <c r="I28" s="817"/>
      <c r="J28" s="256"/>
      <c r="K28" s="256"/>
      <c r="L28" s="256"/>
      <c r="M28" s="818"/>
    </row>
    <row r="29" spans="2:13" ht="12" customHeight="1" x14ac:dyDescent="0.2">
      <c r="B29" s="511"/>
      <c r="C29" s="215"/>
      <c r="D29" s="511"/>
      <c r="E29" s="511"/>
      <c r="F29" s="186"/>
      <c r="G29" s="229"/>
      <c r="H29" s="230"/>
      <c r="I29" s="230"/>
      <c r="J29" s="256"/>
      <c r="K29" s="230"/>
      <c r="L29" s="230"/>
      <c r="M29" s="818"/>
    </row>
    <row r="30" spans="2:13" ht="12" customHeight="1" x14ac:dyDescent="0.2">
      <c r="B30" s="800" t="s">
        <v>1693</v>
      </c>
      <c r="C30" s="927">
        <f>'DAC-1'!O12</f>
        <v>-16</v>
      </c>
      <c r="D30" s="573">
        <f>M10</f>
        <v>0</v>
      </c>
      <c r="E30" s="2121">
        <f>M9</f>
        <v>0</v>
      </c>
      <c r="F30" s="2121" t="e">
        <f>(C30*D30+C31*D31)/E30</f>
        <v>#DIV/0!</v>
      </c>
      <c r="G30" s="229"/>
      <c r="H30" s="230"/>
      <c r="I30" s="819"/>
      <c r="J30" s="882"/>
      <c r="K30" s="820"/>
      <c r="L30" s="2155"/>
      <c r="M30" s="2157"/>
    </row>
    <row r="31" spans="2:13" ht="12" customHeight="1" x14ac:dyDescent="0.2">
      <c r="B31" s="805" t="s">
        <v>1694</v>
      </c>
      <c r="C31" s="928">
        <v>0</v>
      </c>
      <c r="D31" s="809">
        <f>M11</f>
        <v>0</v>
      </c>
      <c r="E31" s="2122"/>
      <c r="F31" s="2122"/>
      <c r="G31" s="232"/>
      <c r="H31" s="233"/>
      <c r="I31" s="821"/>
      <c r="J31" s="883"/>
      <c r="K31" s="822"/>
      <c r="L31" s="2156"/>
      <c r="M31" s="2158"/>
    </row>
    <row r="32" spans="2:13" ht="12" customHeight="1" x14ac:dyDescent="0.2">
      <c r="B32" s="216" t="s">
        <v>3872</v>
      </c>
      <c r="C32" s="218"/>
      <c r="D32" s="218"/>
      <c r="E32" s="218"/>
      <c r="F32" s="218"/>
      <c r="G32" s="218"/>
      <c r="H32" s="218"/>
      <c r="I32" s="218"/>
      <c r="J32" s="218"/>
      <c r="K32" s="218"/>
      <c r="L32" s="218"/>
      <c r="M32" s="219"/>
    </row>
    <row r="33" spans="2:15" ht="12" customHeight="1" x14ac:dyDescent="0.2">
      <c r="B33" s="885" t="s">
        <v>1697</v>
      </c>
      <c r="C33" s="221"/>
      <c r="D33" s="221"/>
      <c r="E33" s="221"/>
      <c r="F33" s="221"/>
      <c r="G33" s="221"/>
      <c r="H33" s="221"/>
      <c r="I33" s="221"/>
      <c r="J33" s="221"/>
      <c r="K33" s="221"/>
      <c r="L33" s="221"/>
      <c r="M33" s="222"/>
    </row>
    <row r="34" spans="2:15" ht="12" customHeight="1" x14ac:dyDescent="0.2">
      <c r="B34" s="180"/>
      <c r="C34" s="180"/>
      <c r="D34" s="180"/>
      <c r="E34" s="180"/>
      <c r="F34" s="180"/>
      <c r="G34" s="180"/>
      <c r="H34" s="180"/>
      <c r="I34" s="180"/>
      <c r="J34" s="180"/>
      <c r="K34" s="180"/>
      <c r="L34" s="180"/>
      <c r="M34" s="180"/>
    </row>
    <row r="35" spans="2:15" ht="12" customHeight="1" x14ac:dyDescent="0.2">
      <c r="B35" s="874" t="s">
        <v>3984</v>
      </c>
      <c r="C35" s="75"/>
      <c r="D35" s="75"/>
      <c r="E35" s="75"/>
      <c r="F35" s="75"/>
      <c r="G35" s="876" t="s">
        <v>3983</v>
      </c>
      <c r="L35" s="180"/>
      <c r="M35" s="180"/>
      <c r="N35" s="875"/>
      <c r="O35" s="875"/>
    </row>
    <row r="36" spans="2:15" ht="12" customHeight="1" x14ac:dyDescent="0.2">
      <c r="B36" s="881" t="e">
        <f>F19</f>
        <v>#DIV/0!</v>
      </c>
      <c r="C36" s="849" t="s">
        <v>3870</v>
      </c>
      <c r="E36" s="180"/>
      <c r="F36" s="180"/>
      <c r="G36" s="881" t="e">
        <f>M19</f>
        <v>#DIV/0!</v>
      </c>
      <c r="H36" s="849" t="s">
        <v>3870</v>
      </c>
      <c r="L36" s="180"/>
      <c r="M36" s="180"/>
      <c r="N36" s="795"/>
      <c r="O36" s="180"/>
    </row>
    <row r="37" spans="2:15" ht="12" customHeight="1" x14ac:dyDescent="0.2">
      <c r="B37" s="887" t="e">
        <f>F30</f>
        <v>#DIV/0!</v>
      </c>
      <c r="C37" s="849" t="s">
        <v>3871</v>
      </c>
      <c r="E37" s="850"/>
      <c r="F37" s="180"/>
      <c r="G37" s="884"/>
      <c r="H37" s="849"/>
      <c r="L37" s="180"/>
      <c r="M37" s="180"/>
      <c r="N37" s="180"/>
      <c r="O37" s="180"/>
    </row>
  </sheetData>
  <mergeCells count="13">
    <mergeCell ref="B14:M14"/>
    <mergeCell ref="B25:M25"/>
    <mergeCell ref="P2:R2"/>
    <mergeCell ref="B2:M2"/>
    <mergeCell ref="B3:M3"/>
    <mergeCell ref="E19:E20"/>
    <mergeCell ref="F19:F20"/>
    <mergeCell ref="M19:M20"/>
    <mergeCell ref="E30:E31"/>
    <mergeCell ref="F30:F31"/>
    <mergeCell ref="L30:L31"/>
    <mergeCell ref="M30:M31"/>
    <mergeCell ref="L19:L20"/>
  </mergeCells>
  <phoneticPr fontId="27" type="noConversion"/>
  <pageMargins left="0.75" right="0.75" top="1" bottom="1" header="0.5" footer="0.5"/>
  <pageSetup orientation="portrait" r:id="rId1"/>
  <headerFooter alignWithMargins="0"/>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7"/>
  <dimension ref="B2:T65"/>
  <sheetViews>
    <sheetView workbookViewId="0">
      <selection activeCell="K47" sqref="K47"/>
    </sheetView>
  </sheetViews>
  <sheetFormatPr defaultColWidth="8.7109375" defaultRowHeight="12" customHeight="1" x14ac:dyDescent="0.2"/>
  <cols>
    <col min="1" max="1" width="3.5703125" style="174" customWidth="1"/>
    <col min="2" max="16384" width="8.7109375" style="174"/>
  </cols>
  <sheetData>
    <row r="2" spans="2:20" ht="12" customHeight="1" x14ac:dyDescent="0.2">
      <c r="B2" s="2116" t="s">
        <v>2927</v>
      </c>
      <c r="C2" s="1960"/>
      <c r="D2" s="1960"/>
      <c r="E2" s="1960"/>
      <c r="F2" s="1960"/>
      <c r="G2" s="1960"/>
      <c r="H2" s="1960"/>
      <c r="I2" s="1960"/>
      <c r="J2" s="1960"/>
      <c r="K2" s="1960"/>
      <c r="L2" s="1960"/>
      <c r="M2" s="2117"/>
    </row>
    <row r="3" spans="2:20" ht="12" customHeight="1" x14ac:dyDescent="0.2">
      <c r="B3" s="2118" t="s">
        <v>317</v>
      </c>
      <c r="C3" s="2119"/>
      <c r="D3" s="2119"/>
      <c r="E3" s="2119"/>
      <c r="F3" s="2119"/>
      <c r="G3" s="2119"/>
      <c r="H3" s="2119"/>
      <c r="I3" s="2119"/>
      <c r="J3" s="2119"/>
      <c r="K3" s="2119"/>
      <c r="L3" s="2119"/>
      <c r="M3" s="2120"/>
    </row>
    <row r="4" spans="2:20" ht="12" customHeight="1" x14ac:dyDescent="0.2">
      <c r="B4" s="179"/>
      <c r="C4" s="180"/>
      <c r="D4" s="180"/>
      <c r="E4" s="454" t="s">
        <v>476</v>
      </c>
      <c r="F4" s="685" t="str">
        <f>'Wrk A'!$H$5</f>
        <v>Block</v>
      </c>
      <c r="G4" s="919" t="s">
        <v>3985</v>
      </c>
      <c r="H4" s="920" t="str">
        <f>'Wrk A'!C15</f>
        <v>Jul &amp; Aug</v>
      </c>
      <c r="I4" s="919" t="s">
        <v>1079</v>
      </c>
      <c r="J4" s="951">
        <f>'Wrk A'!K16</f>
        <v>0.5</v>
      </c>
      <c r="K4" s="180"/>
      <c r="L4" s="180"/>
      <c r="M4" s="181"/>
    </row>
    <row r="5" spans="2:20" ht="12" customHeight="1" x14ac:dyDescent="0.2">
      <c r="B5" s="2113" t="s">
        <v>4105</v>
      </c>
      <c r="C5" s="2114"/>
      <c r="D5" s="2114"/>
      <c r="E5" s="2114"/>
      <c r="F5" s="2114"/>
      <c r="G5" s="2114"/>
      <c r="H5" s="2114"/>
      <c r="I5" s="2114"/>
      <c r="J5" s="2114"/>
      <c r="K5" s="2114"/>
      <c r="L5" s="2114"/>
      <c r="M5" s="2115"/>
    </row>
    <row r="6" spans="2:20" ht="12" customHeight="1" x14ac:dyDescent="0.2">
      <c r="B6" s="182" t="s">
        <v>3985</v>
      </c>
      <c r="C6" s="182" t="s">
        <v>1079</v>
      </c>
      <c r="D6" s="182" t="s">
        <v>3480</v>
      </c>
      <c r="E6" s="183" t="s">
        <v>3942</v>
      </c>
      <c r="F6" s="183" t="s">
        <v>3943</v>
      </c>
      <c r="G6" s="183" t="s">
        <v>3944</v>
      </c>
      <c r="H6" s="183" t="s">
        <v>3482</v>
      </c>
      <c r="I6" s="183" t="s">
        <v>3945</v>
      </c>
      <c r="J6" s="183" t="s">
        <v>3946</v>
      </c>
      <c r="K6" s="183" t="s">
        <v>3947</v>
      </c>
      <c r="L6" s="183" t="s">
        <v>3947</v>
      </c>
      <c r="M6" s="765" t="s">
        <v>2935</v>
      </c>
      <c r="N6" s="184"/>
      <c r="O6" s="228"/>
      <c r="P6" s="185"/>
      <c r="Q6" s="185"/>
      <c r="R6" s="185"/>
    </row>
    <row r="7" spans="2:20" ht="12" customHeight="1" x14ac:dyDescent="0.2">
      <c r="B7" s="186"/>
      <c r="C7" s="186"/>
      <c r="D7" s="186"/>
      <c r="E7" s="187" t="s">
        <v>3948</v>
      </c>
      <c r="F7" s="187" t="s">
        <v>3949</v>
      </c>
      <c r="G7" s="187" t="s">
        <v>3471</v>
      </c>
      <c r="H7" s="187" t="s">
        <v>3950</v>
      </c>
      <c r="I7" s="187" t="s">
        <v>3483</v>
      </c>
      <c r="J7" s="187" t="s">
        <v>3951</v>
      </c>
      <c r="K7" s="187" t="s">
        <v>3952</v>
      </c>
      <c r="L7" s="187" t="s">
        <v>3953</v>
      </c>
      <c r="M7" s="767" t="s">
        <v>3984</v>
      </c>
      <c r="N7" s="185"/>
      <c r="O7" s="768" t="s">
        <v>1712</v>
      </c>
      <c r="P7" s="185"/>
      <c r="Q7" s="185"/>
      <c r="R7" s="185"/>
    </row>
    <row r="8" spans="2:20" ht="12" customHeight="1" x14ac:dyDescent="0.2">
      <c r="B8" s="251" t="str">
        <f>'DAC-1'!B8</f>
        <v>Jul &amp; Aug</v>
      </c>
      <c r="C8" s="194">
        <f>'DAC-1'!C8</f>
        <v>0.5</v>
      </c>
      <c r="D8" s="556">
        <f>'DAC-1'!D8</f>
        <v>36</v>
      </c>
      <c r="E8" s="556">
        <f>'DAC-1'!E8</f>
        <v>106</v>
      </c>
      <c r="F8" s="556">
        <f>'DAC-1'!F8</f>
        <v>75</v>
      </c>
      <c r="G8" s="556">
        <f>'DAC-1'!G8</f>
        <v>30</v>
      </c>
      <c r="H8" s="542">
        <f>'DAC-1'!H8</f>
        <v>0.93</v>
      </c>
      <c r="I8" s="260"/>
      <c r="J8" s="539"/>
      <c r="K8" s="188">
        <f>(I8*(J8=0)+(J8&gt;0)*I8)/(COS(J8*3.14/180))</f>
        <v>0</v>
      </c>
      <c r="L8" s="260"/>
      <c r="M8" s="545">
        <v>80</v>
      </c>
      <c r="O8" s="766" t="e">
        <f>100*F38</f>
        <v>#DIV/0!</v>
      </c>
      <c r="P8" s="203" t="s">
        <v>2343</v>
      </c>
      <c r="Q8" s="185"/>
      <c r="R8" s="185"/>
    </row>
    <row r="9" spans="2:20" ht="12" customHeight="1" x14ac:dyDescent="0.2">
      <c r="B9" s="179" t="s">
        <v>2508</v>
      </c>
      <c r="C9" s="180"/>
      <c r="D9" s="180"/>
      <c r="E9" s="180"/>
      <c r="F9" s="180"/>
      <c r="G9" s="180"/>
      <c r="H9" s="180"/>
      <c r="I9" s="180"/>
      <c r="J9" s="180"/>
      <c r="K9" s="180"/>
      <c r="L9" s="180"/>
      <c r="M9" s="181"/>
      <c r="O9" s="185" t="s">
        <v>2509</v>
      </c>
    </row>
    <row r="10" spans="2:20" ht="12" customHeight="1" x14ac:dyDescent="0.2">
      <c r="B10" s="179" t="s">
        <v>2510</v>
      </c>
      <c r="C10" s="180"/>
      <c r="D10" s="180"/>
      <c r="E10" s="180"/>
      <c r="F10" s="180"/>
      <c r="G10" s="180"/>
      <c r="H10" s="180"/>
      <c r="I10" s="180"/>
      <c r="J10" s="180"/>
      <c r="K10" s="180"/>
      <c r="L10" s="180"/>
      <c r="M10" s="181"/>
    </row>
    <row r="11" spans="2:20" ht="12" customHeight="1" x14ac:dyDescent="0.2">
      <c r="B11" s="179"/>
      <c r="C11" s="180"/>
      <c r="D11" s="180"/>
      <c r="E11" s="180"/>
      <c r="F11" s="180"/>
      <c r="G11" s="180"/>
      <c r="H11" s="180"/>
      <c r="I11" s="180"/>
      <c r="J11" s="180"/>
      <c r="K11" s="180"/>
      <c r="L11" s="180"/>
      <c r="M11" s="181"/>
      <c r="O11" s="670"/>
      <c r="P11" s="795" t="s">
        <v>410</v>
      </c>
      <c r="R11" s="176"/>
    </row>
    <row r="12" spans="2:20" ht="12" customHeight="1" x14ac:dyDescent="0.2">
      <c r="B12" s="2113" t="s">
        <v>2511</v>
      </c>
      <c r="C12" s="2114"/>
      <c r="D12" s="2114"/>
      <c r="E12" s="2114"/>
      <c r="F12" s="2114"/>
      <c r="G12" s="2114"/>
      <c r="H12" s="2114"/>
      <c r="I12" s="2114"/>
      <c r="J12" s="2114"/>
      <c r="K12" s="2114"/>
      <c r="L12" s="2114"/>
      <c r="M12" s="2115"/>
      <c r="O12" s="493"/>
      <c r="P12" s="852" t="s">
        <v>411</v>
      </c>
      <c r="R12" s="176"/>
      <c r="T12" s="175"/>
    </row>
    <row r="13" spans="2:20" ht="12" customHeight="1" x14ac:dyDescent="0.2">
      <c r="B13" s="189" t="s">
        <v>2512</v>
      </c>
      <c r="C13" s="190"/>
      <c r="D13" s="182" t="s">
        <v>3946</v>
      </c>
      <c r="E13" s="182" t="s">
        <v>2838</v>
      </c>
      <c r="F13" s="182" t="s">
        <v>2839</v>
      </c>
      <c r="G13" s="182" t="s">
        <v>3946</v>
      </c>
      <c r="H13" s="182" t="s">
        <v>413</v>
      </c>
      <c r="I13" s="182" t="s">
        <v>3493</v>
      </c>
      <c r="J13" s="182" t="s">
        <v>1503</v>
      </c>
      <c r="K13" s="182" t="s">
        <v>3494</v>
      </c>
      <c r="L13" s="191"/>
      <c r="M13" s="182" t="s">
        <v>3495</v>
      </c>
      <c r="O13" s="894"/>
      <c r="P13" s="852"/>
      <c r="Q13" s="795"/>
      <c r="R13" s="176"/>
    </row>
    <row r="14" spans="2:20" ht="12" customHeight="1" x14ac:dyDescent="0.2">
      <c r="B14" s="471" t="s">
        <v>3496</v>
      </c>
      <c r="C14" s="213"/>
      <c r="D14" s="201" t="s">
        <v>3497</v>
      </c>
      <c r="E14" s="201" t="s">
        <v>489</v>
      </c>
      <c r="F14" s="201" t="s">
        <v>3498</v>
      </c>
      <c r="G14" s="201" t="s">
        <v>3493</v>
      </c>
      <c r="H14" s="201" t="s">
        <v>3499</v>
      </c>
      <c r="I14" s="201" t="s">
        <v>3513</v>
      </c>
      <c r="J14" s="201" t="s">
        <v>1097</v>
      </c>
      <c r="K14" s="201" t="s">
        <v>3500</v>
      </c>
      <c r="L14" s="193"/>
      <c r="M14" s="201" t="s">
        <v>3501</v>
      </c>
      <c r="O14" s="793" t="s">
        <v>3863</v>
      </c>
      <c r="P14" s="185"/>
      <c r="Q14" s="793"/>
      <c r="R14" s="176"/>
    </row>
    <row r="15" spans="2:20" ht="12" customHeight="1" x14ac:dyDescent="0.2">
      <c r="B15" s="192"/>
      <c r="C15" s="178"/>
      <c r="D15" s="186"/>
      <c r="E15" s="186"/>
      <c r="F15" s="186"/>
      <c r="G15" s="186"/>
      <c r="H15" s="186" t="s">
        <v>3398</v>
      </c>
      <c r="I15" s="186" t="s">
        <v>3398</v>
      </c>
      <c r="J15" s="186" t="s">
        <v>3398</v>
      </c>
      <c r="K15" s="186"/>
      <c r="L15" s="193"/>
      <c r="M15" s="186"/>
      <c r="O15" s="793" t="s">
        <v>2830</v>
      </c>
      <c r="P15" s="791"/>
      <c r="Q15" s="847"/>
      <c r="R15" s="176"/>
    </row>
    <row r="16" spans="2:20" ht="12" customHeight="1" x14ac:dyDescent="0.2">
      <c r="B16" s="588"/>
      <c r="C16" s="544"/>
      <c r="D16" s="545"/>
      <c r="E16" s="547"/>
      <c r="F16" s="548"/>
      <c r="G16" s="547"/>
      <c r="H16" s="549"/>
      <c r="I16" s="549"/>
      <c r="J16" s="550"/>
      <c r="K16" s="194">
        <f>(F16+H16)*I16+(E8-95)+(75-M8)+J16</f>
        <v>6</v>
      </c>
      <c r="L16" s="195"/>
      <c r="M16" s="196">
        <f>D16*K16</f>
        <v>0</v>
      </c>
      <c r="P16" s="793"/>
    </row>
    <row r="17" spans="2:15" ht="12" customHeight="1" x14ac:dyDescent="0.2">
      <c r="B17" s="179" t="s">
        <v>414</v>
      </c>
      <c r="C17" s="180"/>
      <c r="D17" s="180"/>
      <c r="E17" s="180"/>
      <c r="F17" s="180"/>
      <c r="G17" s="180"/>
      <c r="H17" s="180"/>
      <c r="I17" s="180"/>
      <c r="J17" s="180"/>
      <c r="K17" s="180"/>
      <c r="L17" s="180"/>
      <c r="M17" s="197"/>
    </row>
    <row r="18" spans="2:15" ht="12" customHeight="1" x14ac:dyDescent="0.2">
      <c r="B18" s="179" t="s">
        <v>416</v>
      </c>
      <c r="C18" s="180"/>
      <c r="D18" s="180"/>
      <c r="E18" s="180"/>
      <c r="F18" s="180"/>
      <c r="G18" s="180"/>
      <c r="H18" s="180"/>
      <c r="I18" s="180"/>
      <c r="J18" s="180"/>
      <c r="K18" s="180"/>
      <c r="L18" s="180"/>
      <c r="M18" s="181"/>
    </row>
    <row r="19" spans="2:15" ht="12" customHeight="1" x14ac:dyDescent="0.2">
      <c r="B19" s="179" t="s">
        <v>417</v>
      </c>
      <c r="C19" s="180"/>
      <c r="D19" s="180"/>
      <c r="E19" s="180"/>
      <c r="F19" s="180"/>
      <c r="G19" s="180"/>
      <c r="H19" s="180"/>
      <c r="I19" s="180"/>
      <c r="J19" s="180"/>
      <c r="K19" s="180"/>
      <c r="L19" s="180"/>
      <c r="M19" s="181"/>
    </row>
    <row r="20" spans="2:15" ht="12" customHeight="1" x14ac:dyDescent="0.2">
      <c r="B20" s="179"/>
      <c r="C20" s="180"/>
      <c r="D20" s="180"/>
      <c r="E20" s="180"/>
      <c r="F20" s="180"/>
      <c r="G20" s="180"/>
      <c r="H20" s="180"/>
      <c r="I20" s="180"/>
      <c r="J20" s="180"/>
      <c r="K20" s="180"/>
      <c r="L20" s="180"/>
      <c r="M20" s="181"/>
    </row>
    <row r="21" spans="2:15" ht="12" customHeight="1" x14ac:dyDescent="0.2">
      <c r="B21" s="2113" t="s">
        <v>418</v>
      </c>
      <c r="C21" s="2114"/>
      <c r="D21" s="2114"/>
      <c r="E21" s="2114"/>
      <c r="F21" s="2113" t="s">
        <v>419</v>
      </c>
      <c r="G21" s="2114"/>
      <c r="H21" s="2114"/>
      <c r="I21" s="2113" t="s">
        <v>939</v>
      </c>
      <c r="J21" s="2114"/>
      <c r="K21" s="2114"/>
      <c r="L21" s="2114"/>
      <c r="M21" s="2115"/>
    </row>
    <row r="22" spans="2:15" ht="12" customHeight="1" x14ac:dyDescent="0.2">
      <c r="B22" s="199" t="s">
        <v>940</v>
      </c>
      <c r="C22" s="200" t="s">
        <v>941</v>
      </c>
      <c r="D22" s="200" t="s">
        <v>3947</v>
      </c>
      <c r="E22" s="200" t="s">
        <v>942</v>
      </c>
      <c r="F22" s="200" t="s">
        <v>3502</v>
      </c>
      <c r="G22" s="200" t="s">
        <v>3502</v>
      </c>
      <c r="H22" s="200" t="s">
        <v>3502</v>
      </c>
      <c r="I22" s="200" t="s">
        <v>1180</v>
      </c>
      <c r="J22" s="200" t="s">
        <v>3110</v>
      </c>
      <c r="K22" s="200" t="s">
        <v>943</v>
      </c>
      <c r="L22" s="200" t="s">
        <v>3789</v>
      </c>
      <c r="M22" s="199" t="s">
        <v>415</v>
      </c>
      <c r="O22" s="185"/>
    </row>
    <row r="23" spans="2:15" ht="12" customHeight="1" x14ac:dyDescent="0.2">
      <c r="B23" s="201" t="s">
        <v>1179</v>
      </c>
      <c r="C23" s="202" t="s">
        <v>3357</v>
      </c>
      <c r="D23" s="202" t="s">
        <v>3502</v>
      </c>
      <c r="E23" s="202" t="s">
        <v>3501</v>
      </c>
      <c r="F23" s="202" t="s">
        <v>945</v>
      </c>
      <c r="G23" s="202" t="s">
        <v>1095</v>
      </c>
      <c r="H23" s="202" t="s">
        <v>946</v>
      </c>
      <c r="I23" s="202" t="s">
        <v>947</v>
      </c>
      <c r="J23" s="202" t="s">
        <v>3984</v>
      </c>
      <c r="K23" s="202" t="s">
        <v>948</v>
      </c>
      <c r="L23" s="202" t="s">
        <v>949</v>
      </c>
      <c r="M23" s="201" t="s">
        <v>946</v>
      </c>
      <c r="O23" s="185"/>
    </row>
    <row r="24" spans="2:15" ht="12" customHeight="1" x14ac:dyDescent="0.2">
      <c r="B24" s="186" t="s">
        <v>950</v>
      </c>
      <c r="C24" s="186" t="s">
        <v>1179</v>
      </c>
      <c r="D24" s="187" t="s">
        <v>948</v>
      </c>
      <c r="E24" s="187"/>
      <c r="F24" s="187"/>
      <c r="G24" s="187" t="s">
        <v>951</v>
      </c>
      <c r="H24" s="187"/>
      <c r="I24" s="187" t="s">
        <v>1179</v>
      </c>
      <c r="J24" s="187" t="s">
        <v>3471</v>
      </c>
      <c r="K24" s="187" t="s">
        <v>2967</v>
      </c>
      <c r="L24" s="187" t="s">
        <v>3984</v>
      </c>
      <c r="M24" s="186"/>
    </row>
    <row r="25" spans="2:15" ht="12" customHeight="1" x14ac:dyDescent="0.2">
      <c r="B25" s="188">
        <f>'Wrk E'!O13</f>
        <v>0</v>
      </c>
      <c r="C25" s="260"/>
      <c r="D25" s="188">
        <f>L8</f>
        <v>0</v>
      </c>
      <c r="E25" s="205" t="e">
        <f>(B25+C25)/D25</f>
        <v>#DIV/0!</v>
      </c>
      <c r="F25" s="546"/>
      <c r="G25" s="546"/>
      <c r="H25" s="205">
        <f>-G25*(M8-F8)</f>
        <v>0</v>
      </c>
      <c r="I25" s="188" t="e">
        <f>'Form N1'!#REF!</f>
        <v>#REF!</v>
      </c>
      <c r="J25" s="251">
        <v>55</v>
      </c>
      <c r="K25" s="188">
        <f>I8</f>
        <v>0</v>
      </c>
      <c r="L25" s="873">
        <f>IF(L28=0,IF(I8=0,0,I25/(1.1*H8*(F8-J25)*K25)),L28)</f>
        <v>0</v>
      </c>
      <c r="M25" s="206">
        <f>-1.1*H8*L25*(M8-F8)</f>
        <v>0</v>
      </c>
    </row>
    <row r="26" spans="2:15" ht="12" customHeight="1" x14ac:dyDescent="0.2">
      <c r="B26" s="179" t="s">
        <v>403</v>
      </c>
      <c r="C26" s="180"/>
      <c r="D26" s="180"/>
      <c r="E26" s="180"/>
      <c r="F26" s="180"/>
      <c r="G26" s="180"/>
      <c r="H26" s="180"/>
      <c r="I26" s="180"/>
      <c r="J26" s="180"/>
      <c r="K26" s="180"/>
      <c r="L26" s="199" t="s">
        <v>3414</v>
      </c>
      <c r="M26" s="181"/>
    </row>
    <row r="27" spans="2:15" ht="12" customHeight="1" x14ac:dyDescent="0.2">
      <c r="B27" s="179" t="s">
        <v>1685</v>
      </c>
      <c r="C27" s="180"/>
      <c r="D27" s="180"/>
      <c r="E27" s="180"/>
      <c r="F27" s="180"/>
      <c r="G27" s="180"/>
      <c r="H27" s="180"/>
      <c r="I27" s="180"/>
      <c r="J27" s="180"/>
      <c r="K27" s="180"/>
      <c r="L27" s="186" t="s">
        <v>3413</v>
      </c>
      <c r="M27" s="181"/>
    </row>
    <row r="28" spans="2:15" ht="12" customHeight="1" x14ac:dyDescent="0.2">
      <c r="B28" s="252" t="s">
        <v>3355</v>
      </c>
      <c r="C28" s="208"/>
      <c r="D28" s="208"/>
      <c r="E28" s="208"/>
      <c r="F28" s="208"/>
      <c r="G28" s="208"/>
      <c r="H28" s="208"/>
      <c r="I28" s="180"/>
      <c r="J28" s="180"/>
      <c r="K28" s="180"/>
      <c r="L28" s="467"/>
      <c r="M28" s="181"/>
    </row>
    <row r="29" spans="2:15" ht="12" customHeight="1" x14ac:dyDescent="0.2">
      <c r="B29" s="252" t="s">
        <v>3356</v>
      </c>
      <c r="C29" s="208"/>
      <c r="D29" s="208"/>
      <c r="E29" s="208"/>
      <c r="F29" s="208"/>
      <c r="G29" s="208"/>
      <c r="H29" s="208"/>
      <c r="I29" s="208"/>
      <c r="J29" s="208"/>
      <c r="K29" s="208"/>
      <c r="M29" s="181"/>
      <c r="O29" s="185"/>
    </row>
    <row r="30" spans="2:15" ht="12" customHeight="1" x14ac:dyDescent="0.2">
      <c r="B30" s="252" t="s">
        <v>835</v>
      </c>
      <c r="C30" s="208"/>
      <c r="D30" s="208"/>
      <c r="E30" s="208"/>
      <c r="F30" s="208"/>
      <c r="G30" s="208"/>
      <c r="H30" s="208"/>
      <c r="I30" s="208"/>
      <c r="J30" s="208"/>
      <c r="K30" s="208"/>
      <c r="L30" s="208"/>
      <c r="M30" s="181"/>
      <c r="O30" s="185"/>
    </row>
    <row r="31" spans="2:15" ht="12" customHeight="1" x14ac:dyDescent="0.2">
      <c r="B31" s="252" t="s">
        <v>404</v>
      </c>
      <c r="C31" s="208"/>
      <c r="D31" s="208"/>
      <c r="E31" s="208"/>
      <c r="F31" s="208"/>
      <c r="G31" s="208"/>
      <c r="H31" s="208"/>
      <c r="I31" s="208"/>
      <c r="J31" s="208"/>
      <c r="K31" s="208"/>
      <c r="L31" s="208"/>
      <c r="M31" s="181"/>
      <c r="O31" s="185"/>
    </row>
    <row r="32" spans="2:15" ht="12" customHeight="1" x14ac:dyDescent="0.2">
      <c r="B32" s="179" t="s">
        <v>3360</v>
      </c>
      <c r="C32" s="180"/>
      <c r="D32" s="180"/>
      <c r="E32" s="180"/>
      <c r="F32" s="180"/>
      <c r="G32" s="180"/>
      <c r="H32" s="180"/>
      <c r="I32" s="180"/>
      <c r="J32" s="180"/>
      <c r="K32" s="180"/>
      <c r="L32" s="180"/>
      <c r="M32" s="181"/>
      <c r="O32" s="185"/>
    </row>
    <row r="33" spans="2:16" ht="12" customHeight="1" x14ac:dyDescent="0.2">
      <c r="B33" s="179"/>
      <c r="C33" s="180"/>
      <c r="D33" s="180"/>
      <c r="E33" s="180"/>
      <c r="F33" s="180"/>
      <c r="G33" s="180"/>
      <c r="H33" s="180"/>
      <c r="I33" s="180"/>
      <c r="J33" s="180"/>
      <c r="K33" s="180"/>
      <c r="L33" s="180"/>
      <c r="M33" s="181"/>
    </row>
    <row r="34" spans="2:16" ht="12" customHeight="1" x14ac:dyDescent="0.2">
      <c r="B34" s="2113" t="s">
        <v>3361</v>
      </c>
      <c r="C34" s="2114"/>
      <c r="D34" s="2114"/>
      <c r="E34" s="2114"/>
      <c r="F34" s="2115"/>
      <c r="G34" s="183" t="s">
        <v>1749</v>
      </c>
      <c r="H34" s="226"/>
      <c r="I34" s="226"/>
      <c r="J34" s="227"/>
      <c r="K34" s="890" t="s">
        <v>2840</v>
      </c>
      <c r="L34" s="2143" t="s">
        <v>1689</v>
      </c>
      <c r="M34" s="2166"/>
    </row>
    <row r="35" spans="2:16" ht="12" customHeight="1" x14ac:dyDescent="0.2">
      <c r="B35" s="199" t="s">
        <v>3946</v>
      </c>
      <c r="C35" s="199" t="s">
        <v>942</v>
      </c>
      <c r="D35" s="199" t="s">
        <v>3502</v>
      </c>
      <c r="E35" s="199" t="s">
        <v>415</v>
      </c>
      <c r="F35" s="199" t="s">
        <v>1426</v>
      </c>
      <c r="G35" s="202" t="s">
        <v>1053</v>
      </c>
      <c r="H35" s="230"/>
      <c r="I35" s="230"/>
      <c r="J35" s="231"/>
      <c r="K35" s="761" t="s">
        <v>3419</v>
      </c>
      <c r="L35" s="761" t="s">
        <v>1749</v>
      </c>
      <c r="M35" s="757" t="s">
        <v>1750</v>
      </c>
    </row>
    <row r="36" spans="2:16" ht="12" customHeight="1" x14ac:dyDescent="0.2">
      <c r="B36" s="201" t="s">
        <v>1428</v>
      </c>
      <c r="C36" s="201" t="s">
        <v>1428</v>
      </c>
      <c r="D36" s="201" t="s">
        <v>946</v>
      </c>
      <c r="E36" s="201" t="s">
        <v>946</v>
      </c>
      <c r="F36" s="201" t="s">
        <v>1429</v>
      </c>
      <c r="G36" s="202" t="s">
        <v>1751</v>
      </c>
      <c r="H36" s="230"/>
      <c r="I36" s="230"/>
      <c r="J36" s="231"/>
      <c r="K36" s="762" t="s">
        <v>3984</v>
      </c>
      <c r="L36" s="762" t="s">
        <v>1053</v>
      </c>
      <c r="M36" s="762" t="s">
        <v>1053</v>
      </c>
    </row>
    <row r="37" spans="2:16" ht="12" customHeight="1" x14ac:dyDescent="0.2">
      <c r="B37" s="214"/>
      <c r="C37" s="214"/>
      <c r="D37" s="214"/>
      <c r="E37" s="214"/>
      <c r="F37" s="186"/>
      <c r="G37" s="891"/>
      <c r="H37" s="230"/>
      <c r="I37" s="230"/>
      <c r="J37" s="231"/>
      <c r="K37" s="763" t="s">
        <v>3421</v>
      </c>
      <c r="L37" s="763" t="s">
        <v>1751</v>
      </c>
      <c r="M37" s="763" t="s">
        <v>1751</v>
      </c>
    </row>
    <row r="38" spans="2:16" ht="12" customHeight="1" x14ac:dyDescent="0.2">
      <c r="B38" s="196">
        <f>M16</f>
        <v>0</v>
      </c>
      <c r="C38" s="196" t="e">
        <f>E25</f>
        <v>#DIV/0!</v>
      </c>
      <c r="D38" s="196">
        <f>H25</f>
        <v>0</v>
      </c>
      <c r="E38" s="196">
        <f>M25</f>
        <v>0</v>
      </c>
      <c r="F38" s="206" t="e">
        <f>SUM(B38:E38)</f>
        <v>#DIV/0!</v>
      </c>
      <c r="G38" s="878">
        <f>-(M25*K25)</f>
        <v>0</v>
      </c>
      <c r="H38" s="233"/>
      <c r="I38" s="233"/>
      <c r="J38" s="234"/>
      <c r="K38" s="889">
        <f>O11</f>
        <v>0</v>
      </c>
      <c r="L38" s="837">
        <f>O12</f>
        <v>0</v>
      </c>
      <c r="M38" s="764" t="s">
        <v>1432</v>
      </c>
    </row>
    <row r="39" spans="2:16" ht="12" customHeight="1" x14ac:dyDescent="0.2">
      <c r="B39" s="252" t="s">
        <v>3423</v>
      </c>
      <c r="C39" s="208"/>
      <c r="D39" s="208"/>
      <c r="E39" s="208"/>
      <c r="F39" s="208"/>
      <c r="G39" s="208"/>
      <c r="H39" s="208"/>
      <c r="I39" s="208"/>
      <c r="J39" s="180"/>
      <c r="K39" s="180"/>
      <c r="L39" s="180"/>
      <c r="M39" s="181"/>
    </row>
    <row r="40" spans="2:16" ht="12" customHeight="1" x14ac:dyDescent="0.2">
      <c r="B40" s="252" t="s">
        <v>1709</v>
      </c>
      <c r="C40" s="208"/>
      <c r="D40" s="208"/>
      <c r="E40" s="208"/>
      <c r="F40" s="208"/>
      <c r="G40" s="208"/>
      <c r="H40" s="208"/>
      <c r="I40" s="208"/>
      <c r="J40" s="180"/>
      <c r="K40" s="180"/>
      <c r="L40" s="180"/>
      <c r="M40" s="181"/>
    </row>
    <row r="41" spans="2:16" ht="12" customHeight="1" x14ac:dyDescent="0.2">
      <c r="B41" s="179" t="s">
        <v>1710</v>
      </c>
      <c r="C41" s="180"/>
      <c r="D41" s="180"/>
      <c r="E41" s="180"/>
      <c r="F41" s="180"/>
      <c r="G41" s="180"/>
      <c r="H41" s="180"/>
      <c r="I41" s="180"/>
      <c r="J41" s="180"/>
      <c r="K41" s="180"/>
      <c r="L41" s="180"/>
      <c r="M41" s="181"/>
    </row>
    <row r="42" spans="2:16" ht="12" customHeight="1" x14ac:dyDescent="0.2">
      <c r="B42" s="179"/>
      <c r="C42" s="180"/>
      <c r="D42" s="180"/>
      <c r="E42" s="180"/>
      <c r="F42" s="180"/>
      <c r="G42" s="180"/>
      <c r="H42" s="180"/>
      <c r="I42" s="180"/>
      <c r="J42" s="180"/>
      <c r="K42" s="180"/>
      <c r="L42" s="180"/>
      <c r="M42" s="181"/>
    </row>
    <row r="43" spans="2:16" ht="12" customHeight="1" x14ac:dyDescent="0.2">
      <c r="B43" s="2113" t="s">
        <v>3428</v>
      </c>
      <c r="C43" s="2114"/>
      <c r="D43" s="2114"/>
      <c r="E43" s="2113" t="s">
        <v>3389</v>
      </c>
      <c r="F43" s="2114"/>
      <c r="G43" s="2114"/>
      <c r="H43" s="2113" t="s">
        <v>1711</v>
      </c>
      <c r="I43" s="2114"/>
      <c r="J43" s="2114"/>
      <c r="K43" s="2114"/>
      <c r="L43" s="2115"/>
      <c r="M43" s="765" t="s">
        <v>2935</v>
      </c>
      <c r="O43" s="768" t="s">
        <v>1712</v>
      </c>
      <c r="P43" s="185"/>
    </row>
    <row r="44" spans="2:16" ht="12" customHeight="1" x14ac:dyDescent="0.2">
      <c r="B44" s="182" t="s">
        <v>3946</v>
      </c>
      <c r="C44" s="200" t="s">
        <v>3429</v>
      </c>
      <c r="D44" s="199" t="s">
        <v>3946</v>
      </c>
      <c r="E44" s="200" t="s">
        <v>3502</v>
      </c>
      <c r="F44" s="199" t="s">
        <v>611</v>
      </c>
      <c r="G44" s="199" t="s">
        <v>3502</v>
      </c>
      <c r="H44" s="199" t="s">
        <v>1180</v>
      </c>
      <c r="I44" s="200" t="s">
        <v>3110</v>
      </c>
      <c r="J44" s="199" t="s">
        <v>943</v>
      </c>
      <c r="K44" s="183" t="s">
        <v>3789</v>
      </c>
      <c r="L44" s="199" t="s">
        <v>415</v>
      </c>
      <c r="M44" s="773" t="s">
        <v>3983</v>
      </c>
      <c r="O44" s="766">
        <f>E61*100</f>
        <v>0</v>
      </c>
      <c r="P44" s="203" t="s">
        <v>2343</v>
      </c>
    </row>
    <row r="45" spans="2:16" ht="12" customHeight="1" x14ac:dyDescent="0.2">
      <c r="B45" s="201" t="s">
        <v>3497</v>
      </c>
      <c r="C45" s="202" t="s">
        <v>2760</v>
      </c>
      <c r="D45" s="201" t="s">
        <v>946</v>
      </c>
      <c r="E45" s="202" t="s">
        <v>1095</v>
      </c>
      <c r="F45" s="201" t="s">
        <v>2760</v>
      </c>
      <c r="G45" s="201" t="s">
        <v>1428</v>
      </c>
      <c r="H45" s="202" t="s">
        <v>947</v>
      </c>
      <c r="I45" s="202" t="s">
        <v>3983</v>
      </c>
      <c r="J45" s="201" t="s">
        <v>948</v>
      </c>
      <c r="K45" s="202" t="s">
        <v>949</v>
      </c>
      <c r="L45" s="201" t="s">
        <v>1428</v>
      </c>
      <c r="M45" s="2133">
        <v>60</v>
      </c>
      <c r="O45" s="185" t="s">
        <v>2509</v>
      </c>
    </row>
    <row r="46" spans="2:16" ht="12" customHeight="1" x14ac:dyDescent="0.2">
      <c r="B46" s="186"/>
      <c r="C46" s="187" t="s">
        <v>3948</v>
      </c>
      <c r="D46" s="186"/>
      <c r="E46" s="187" t="s">
        <v>951</v>
      </c>
      <c r="F46" s="186" t="s">
        <v>3949</v>
      </c>
      <c r="G46" s="186"/>
      <c r="H46" s="186" t="s">
        <v>1179</v>
      </c>
      <c r="I46" s="187" t="s">
        <v>3471</v>
      </c>
      <c r="J46" s="186" t="s">
        <v>2967</v>
      </c>
      <c r="K46" s="215" t="s">
        <v>3983</v>
      </c>
      <c r="L46" s="186"/>
      <c r="M46" s="2134"/>
    </row>
    <row r="47" spans="2:16" ht="12" customHeight="1" x14ac:dyDescent="0.2">
      <c r="B47" s="196">
        <f>D16</f>
        <v>0</v>
      </c>
      <c r="C47" s="251">
        <f>'Wrk A'!D26</f>
        <v>30</v>
      </c>
      <c r="D47" s="196">
        <f>-B47*(M45-C47)</f>
        <v>0</v>
      </c>
      <c r="E47" s="194">
        <f>G25</f>
        <v>0</v>
      </c>
      <c r="F47" s="251">
        <f>'Wrk A'!D25</f>
        <v>70</v>
      </c>
      <c r="G47" s="205">
        <f>E47*(F47-M45)</f>
        <v>0</v>
      </c>
      <c r="H47" s="188" t="e">
        <f>'Form N1'!#REF!</f>
        <v>#REF!</v>
      </c>
      <c r="I47" s="259">
        <v>100</v>
      </c>
      <c r="J47" s="188">
        <f>K25</f>
        <v>0</v>
      </c>
      <c r="K47" s="873">
        <f>IF(K50=0,IF(I8=0,0,H47/(1.1*H8*(I47-F47)*J47)*(J54=0)+L25*(J54=1)),K50)</f>
        <v>0</v>
      </c>
      <c r="L47" s="261">
        <f>1.1*H8*IF(J54=0,K47,IF(J54=1,L25,"see J48"))*(F47-M45)</f>
        <v>0</v>
      </c>
      <c r="M47" s="2135"/>
    </row>
    <row r="48" spans="2:16" ht="12" customHeight="1" x14ac:dyDescent="0.2">
      <c r="B48" s="252" t="s">
        <v>3922</v>
      </c>
      <c r="C48" s="208"/>
      <c r="D48" s="208"/>
      <c r="E48" s="208"/>
      <c r="F48" s="208"/>
      <c r="G48" s="208"/>
      <c r="H48" s="180"/>
      <c r="I48" s="180"/>
      <c r="J48" s="180"/>
      <c r="K48" s="199" t="s">
        <v>3414</v>
      </c>
      <c r="L48" s="180"/>
      <c r="M48" s="181"/>
    </row>
    <row r="49" spans="2:17" ht="12" customHeight="1" x14ac:dyDescent="0.2">
      <c r="B49" s="252" t="s">
        <v>3923</v>
      </c>
      <c r="C49" s="208"/>
      <c r="D49" s="208"/>
      <c r="E49" s="208"/>
      <c r="F49" s="208"/>
      <c r="G49" s="208"/>
      <c r="H49" s="180"/>
      <c r="I49" s="180"/>
      <c r="J49" s="180"/>
      <c r="K49" s="186" t="s">
        <v>3413</v>
      </c>
      <c r="L49" s="180"/>
      <c r="M49" s="181"/>
    </row>
    <row r="50" spans="2:17" ht="12" customHeight="1" x14ac:dyDescent="0.2">
      <c r="B50" s="179" t="s">
        <v>4126</v>
      </c>
      <c r="C50" s="180"/>
      <c r="D50" s="180"/>
      <c r="E50" s="180"/>
      <c r="F50" s="180"/>
      <c r="G50" s="180"/>
      <c r="H50" s="180"/>
      <c r="I50" s="180"/>
      <c r="J50" s="180"/>
      <c r="K50" s="467"/>
      <c r="L50" s="180"/>
      <c r="M50" s="181"/>
      <c r="O50" s="670"/>
      <c r="P50" s="795" t="s">
        <v>410</v>
      </c>
      <c r="Q50" s="933"/>
    </row>
    <row r="51" spans="2:17" ht="12" customHeight="1" x14ac:dyDescent="0.2">
      <c r="B51" s="179" t="s">
        <v>4127</v>
      </c>
      <c r="C51" s="180"/>
      <c r="D51" s="180"/>
      <c r="E51" s="180"/>
      <c r="F51" s="180"/>
      <c r="G51" s="180"/>
      <c r="H51" s="180"/>
      <c r="I51" s="180"/>
      <c r="J51" s="180"/>
      <c r="K51" s="180"/>
      <c r="L51" s="180"/>
      <c r="M51" s="181"/>
      <c r="O51" s="493"/>
      <c r="P51" s="852" t="s">
        <v>411</v>
      </c>
    </row>
    <row r="52" spans="2:17" ht="12" customHeight="1" x14ac:dyDescent="0.2">
      <c r="B52" s="179" t="s">
        <v>837</v>
      </c>
      <c r="C52" s="180"/>
      <c r="D52" s="180"/>
      <c r="E52" s="180"/>
      <c r="F52" s="180"/>
      <c r="G52" s="180"/>
      <c r="H52" s="180"/>
      <c r="I52" s="180"/>
      <c r="J52" s="180"/>
      <c r="K52" s="180"/>
      <c r="L52" s="180"/>
      <c r="M52" s="181"/>
      <c r="Q52" s="795"/>
    </row>
    <row r="53" spans="2:17" ht="12" customHeight="1" x14ac:dyDescent="0.2">
      <c r="B53" s="252" t="s">
        <v>836</v>
      </c>
      <c r="C53" s="180"/>
      <c r="D53" s="180"/>
      <c r="E53" s="180"/>
      <c r="F53" s="180"/>
      <c r="G53" s="180"/>
      <c r="H53" s="180"/>
      <c r="I53" s="180"/>
      <c r="J53" s="180"/>
      <c r="K53" s="180"/>
      <c r="L53" s="180"/>
      <c r="M53" s="181"/>
      <c r="Q53" s="795"/>
    </row>
    <row r="54" spans="2:17" ht="12" customHeight="1" x14ac:dyDescent="0.2">
      <c r="B54" s="179" t="s">
        <v>4103</v>
      </c>
      <c r="C54" s="180"/>
      <c r="D54" s="180"/>
      <c r="E54" s="180"/>
      <c r="F54" s="180"/>
      <c r="G54" s="180"/>
      <c r="H54" s="180"/>
      <c r="I54" s="180"/>
      <c r="J54" s="263"/>
      <c r="K54" s="180" t="s">
        <v>1707</v>
      </c>
      <c r="L54" s="262"/>
      <c r="M54" s="181"/>
      <c r="O54" s="793" t="s">
        <v>3863</v>
      </c>
      <c r="P54" s="185"/>
    </row>
    <row r="55" spans="2:17" ht="12" customHeight="1" x14ac:dyDescent="0.2">
      <c r="B55" s="179" t="s">
        <v>1713</v>
      </c>
      <c r="C55" s="180"/>
      <c r="D55" s="180"/>
      <c r="E55" s="180"/>
      <c r="F55" s="180"/>
      <c r="G55" s="180"/>
      <c r="H55" s="180"/>
      <c r="I55" s="180"/>
      <c r="J55" s="180"/>
      <c r="K55" s="180"/>
      <c r="L55" s="180"/>
      <c r="M55" s="181"/>
      <c r="O55" s="793" t="s">
        <v>2830</v>
      </c>
      <c r="P55" s="791"/>
    </row>
    <row r="56" spans="2:17" ht="12" customHeight="1" x14ac:dyDescent="0.2">
      <c r="B56" s="179"/>
      <c r="C56" s="180"/>
      <c r="D56" s="180"/>
      <c r="E56" s="180"/>
      <c r="F56" s="180"/>
      <c r="G56" s="180"/>
      <c r="H56" s="180"/>
      <c r="I56" s="180"/>
      <c r="J56" s="180"/>
      <c r="K56" s="180"/>
      <c r="L56" s="180"/>
      <c r="M56" s="181"/>
      <c r="P56" s="793"/>
    </row>
    <row r="57" spans="2:17" ht="12" customHeight="1" x14ac:dyDescent="0.2">
      <c r="B57" s="2113" t="s">
        <v>1708</v>
      </c>
      <c r="C57" s="2138"/>
      <c r="D57" s="2138"/>
      <c r="E57" s="2165"/>
      <c r="F57" s="183" t="s">
        <v>3983</v>
      </c>
      <c r="G57" s="895"/>
      <c r="H57" s="896"/>
      <c r="I57" s="226"/>
      <c r="J57" s="902"/>
      <c r="K57" s="890" t="s">
        <v>2840</v>
      </c>
      <c r="L57" s="2143" t="s">
        <v>1689</v>
      </c>
      <c r="M57" s="2166"/>
    </row>
    <row r="58" spans="2:17" ht="12" customHeight="1" x14ac:dyDescent="0.2">
      <c r="B58" s="199" t="s">
        <v>3946</v>
      </c>
      <c r="C58" s="199" t="s">
        <v>3502</v>
      </c>
      <c r="D58" s="199" t="s">
        <v>415</v>
      </c>
      <c r="E58" s="199" t="s">
        <v>1426</v>
      </c>
      <c r="F58" s="202" t="s">
        <v>1053</v>
      </c>
      <c r="G58" s="897"/>
      <c r="H58" s="898"/>
      <c r="I58" s="230"/>
      <c r="J58" s="903"/>
      <c r="K58" s="761" t="s">
        <v>3419</v>
      </c>
      <c r="L58" s="761" t="s">
        <v>3983</v>
      </c>
      <c r="M58" s="553" t="s">
        <v>1750</v>
      </c>
      <c r="P58" s="791"/>
    </row>
    <row r="59" spans="2:17" ht="12" customHeight="1" x14ac:dyDescent="0.2">
      <c r="B59" s="201" t="s">
        <v>946</v>
      </c>
      <c r="C59" s="201" t="s">
        <v>1428</v>
      </c>
      <c r="D59" s="201" t="s">
        <v>1428</v>
      </c>
      <c r="E59" s="201" t="s">
        <v>1429</v>
      </c>
      <c r="F59" s="202" t="s">
        <v>1751</v>
      </c>
      <c r="G59" s="899"/>
      <c r="H59" s="900"/>
      <c r="I59" s="230"/>
      <c r="J59" s="903"/>
      <c r="K59" s="762" t="s">
        <v>3984</v>
      </c>
      <c r="L59" s="762" t="s">
        <v>1053</v>
      </c>
      <c r="M59" s="551" t="s">
        <v>1053</v>
      </c>
      <c r="P59" s="793"/>
    </row>
    <row r="60" spans="2:17" ht="12" customHeight="1" x14ac:dyDescent="0.2">
      <c r="B60" s="214"/>
      <c r="C60" s="214"/>
      <c r="D60" s="214"/>
      <c r="E60" s="186"/>
      <c r="F60" s="891"/>
      <c r="G60" s="899"/>
      <c r="H60" s="900"/>
      <c r="I60" s="230"/>
      <c r="J60" s="903"/>
      <c r="K60" s="763" t="s">
        <v>3421</v>
      </c>
      <c r="L60" s="763" t="s">
        <v>1751</v>
      </c>
      <c r="M60" s="552" t="s">
        <v>1751</v>
      </c>
    </row>
    <row r="61" spans="2:17" ht="12" customHeight="1" x14ac:dyDescent="0.2">
      <c r="B61" s="196">
        <f>D47</f>
        <v>0</v>
      </c>
      <c r="C61" s="196">
        <f>G47</f>
        <v>0</v>
      </c>
      <c r="D61" s="196">
        <f>L47</f>
        <v>0</v>
      </c>
      <c r="E61" s="196">
        <f>SUM(B61:D61)</f>
        <v>0</v>
      </c>
      <c r="F61" s="878">
        <f>-B61*K8</f>
        <v>0</v>
      </c>
      <c r="G61" s="901"/>
      <c r="H61" s="233"/>
      <c r="I61" s="233"/>
      <c r="J61" s="904"/>
      <c r="K61" s="772">
        <f>O50</f>
        <v>0</v>
      </c>
      <c r="L61" s="837">
        <f>O51</f>
        <v>0</v>
      </c>
      <c r="M61" s="554" t="s">
        <v>1714</v>
      </c>
    </row>
    <row r="62" spans="2:17" ht="12" customHeight="1" x14ac:dyDescent="0.2">
      <c r="B62" s="179" t="s">
        <v>3986</v>
      </c>
      <c r="C62" s="180"/>
      <c r="D62" s="180"/>
      <c r="E62" s="180"/>
      <c r="F62" s="180"/>
      <c r="G62" s="180"/>
      <c r="H62" s="180"/>
      <c r="I62" s="180"/>
      <c r="J62" s="180"/>
      <c r="K62" s="180"/>
      <c r="L62" s="180"/>
      <c r="M62" s="181"/>
    </row>
    <row r="63" spans="2:17" ht="12" customHeight="1" x14ac:dyDescent="0.2">
      <c r="B63" s="179" t="s">
        <v>1715</v>
      </c>
      <c r="C63" s="180"/>
      <c r="D63" s="180"/>
      <c r="E63" s="180"/>
      <c r="F63" s="180"/>
      <c r="G63" s="180"/>
      <c r="H63" s="180"/>
      <c r="I63" s="180"/>
      <c r="J63" s="180"/>
      <c r="K63" s="180"/>
      <c r="L63" s="180"/>
      <c r="M63" s="181"/>
    </row>
    <row r="64" spans="2:17" ht="12" customHeight="1" x14ac:dyDescent="0.2">
      <c r="B64" s="179" t="s">
        <v>1710</v>
      </c>
      <c r="C64" s="180"/>
      <c r="D64" s="180"/>
      <c r="E64" s="180"/>
      <c r="F64" s="180"/>
      <c r="G64" s="180"/>
      <c r="H64" s="180"/>
      <c r="I64" s="180"/>
      <c r="J64" s="180"/>
      <c r="K64" s="180"/>
      <c r="L64" s="180"/>
      <c r="M64" s="181"/>
    </row>
    <row r="65" spans="2:13" ht="12" customHeight="1" x14ac:dyDescent="0.2">
      <c r="B65" s="220" t="s">
        <v>11</v>
      </c>
      <c r="C65" s="221"/>
      <c r="D65" s="221"/>
      <c r="E65" s="221"/>
      <c r="F65" s="221"/>
      <c r="G65" s="221"/>
      <c r="H65" s="221"/>
      <c r="I65" s="221"/>
      <c r="J65" s="221"/>
      <c r="K65" s="221"/>
      <c r="L65" s="221"/>
      <c r="M65" s="222"/>
    </row>
  </sheetData>
  <mergeCells count="15">
    <mergeCell ref="B57:E57"/>
    <mergeCell ref="L57:M57"/>
    <mergeCell ref="H43:L43"/>
    <mergeCell ref="L34:M34"/>
    <mergeCell ref="B43:D43"/>
    <mergeCell ref="E43:G43"/>
    <mergeCell ref="M45:M47"/>
    <mergeCell ref="B34:F34"/>
    <mergeCell ref="B2:M2"/>
    <mergeCell ref="B3:M3"/>
    <mergeCell ref="B21:E21"/>
    <mergeCell ref="F21:H21"/>
    <mergeCell ref="I21:M21"/>
    <mergeCell ref="B5:M5"/>
    <mergeCell ref="B12:M12"/>
  </mergeCells>
  <phoneticPr fontId="27" type="noConversion"/>
  <pageMargins left="0.75" right="0.75" top="1" bottom="1" header="0.5" footer="0.5"/>
  <pageSetup orientation="portrait" r:id="rId1"/>
  <headerFooter alignWithMargins="0"/>
  <drawing r:id="rId2"/>
  <legacyDrawing r:id="rId3"/>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8"/>
  <dimension ref="B2:R40"/>
  <sheetViews>
    <sheetView workbookViewId="0">
      <selection activeCell="L22" sqref="L22"/>
    </sheetView>
  </sheetViews>
  <sheetFormatPr defaultColWidth="8.7109375" defaultRowHeight="12" customHeight="1" x14ac:dyDescent="0.2"/>
  <cols>
    <col min="1" max="1" width="3.5703125" style="174" customWidth="1"/>
    <col min="2" max="16384" width="8.7109375" style="174"/>
  </cols>
  <sheetData>
    <row r="2" spans="2:18" ht="12" customHeight="1" x14ac:dyDescent="0.2">
      <c r="B2" s="2116" t="s">
        <v>12</v>
      </c>
      <c r="C2" s="1960"/>
      <c r="D2" s="1960"/>
      <c r="E2" s="1960"/>
      <c r="F2" s="1960"/>
      <c r="G2" s="1960"/>
      <c r="H2" s="1960"/>
      <c r="I2" s="1960"/>
      <c r="J2" s="1960"/>
      <c r="K2" s="1960"/>
      <c r="L2" s="1960"/>
      <c r="M2" s="2117"/>
    </row>
    <row r="3" spans="2:18" ht="12" customHeight="1" x14ac:dyDescent="0.2">
      <c r="B3" s="2118" t="s">
        <v>318</v>
      </c>
      <c r="C3" s="2119"/>
      <c r="D3" s="2119"/>
      <c r="E3" s="2119"/>
      <c r="F3" s="2119"/>
      <c r="G3" s="2119"/>
      <c r="H3" s="2119"/>
      <c r="I3" s="2119"/>
      <c r="J3" s="2119"/>
      <c r="K3" s="2119"/>
      <c r="L3" s="2119"/>
      <c r="M3" s="2120"/>
    </row>
    <row r="4" spans="2:18" ht="12" customHeight="1" x14ac:dyDescent="0.2">
      <c r="B4" s="179"/>
      <c r="C4" s="180"/>
      <c r="D4" s="180"/>
      <c r="E4" s="454" t="s">
        <v>476</v>
      </c>
      <c r="F4" s="685" t="str">
        <f>'Wrk A'!$H$5</f>
        <v>Block</v>
      </c>
      <c r="G4" s="919" t="s">
        <v>3985</v>
      </c>
      <c r="H4" s="920" t="str">
        <f>'Wrk A'!C15</f>
        <v>Jul &amp; Aug</v>
      </c>
      <c r="I4" s="919" t="s">
        <v>1079</v>
      </c>
      <c r="J4" s="951">
        <f>'Wrk A'!K16</f>
        <v>0.5</v>
      </c>
      <c r="K4" s="180"/>
      <c r="L4" s="180"/>
      <c r="M4" s="181"/>
    </row>
    <row r="5" spans="2:18" ht="12" customHeight="1" x14ac:dyDescent="0.2">
      <c r="B5" s="2113" t="s">
        <v>4105</v>
      </c>
      <c r="C5" s="2114"/>
      <c r="D5" s="2114"/>
      <c r="E5" s="2114"/>
      <c r="F5" s="2114"/>
      <c r="G5" s="2114"/>
      <c r="H5" s="2114"/>
      <c r="I5" s="2114"/>
      <c r="J5" s="2114"/>
      <c r="K5" s="2114"/>
      <c r="L5" s="2114"/>
      <c r="M5" s="2115"/>
    </row>
    <row r="6" spans="2:18" ht="12" customHeight="1" x14ac:dyDescent="0.2">
      <c r="B6" s="182" t="s">
        <v>3985</v>
      </c>
      <c r="C6" s="182" t="s">
        <v>1079</v>
      </c>
      <c r="D6" s="183" t="s">
        <v>3943</v>
      </c>
      <c r="E6" s="183" t="s">
        <v>3482</v>
      </c>
      <c r="F6" s="183" t="s">
        <v>3945</v>
      </c>
      <c r="G6" s="183" t="s">
        <v>3502</v>
      </c>
      <c r="H6" s="236"/>
      <c r="I6" s="237"/>
      <c r="J6" s="237"/>
      <c r="K6" s="237"/>
      <c r="L6" s="238"/>
      <c r="M6" s="765" t="s">
        <v>2935</v>
      </c>
      <c r="N6" s="184"/>
      <c r="O6" s="228"/>
      <c r="P6" s="185"/>
      <c r="Q6" s="185"/>
      <c r="R6" s="185"/>
    </row>
    <row r="7" spans="2:18" ht="12" customHeight="1" x14ac:dyDescent="0.2">
      <c r="B7" s="186"/>
      <c r="C7" s="186"/>
      <c r="D7" s="187" t="s">
        <v>3949</v>
      </c>
      <c r="E7" s="187" t="s">
        <v>3950</v>
      </c>
      <c r="F7" s="187" t="s">
        <v>3484</v>
      </c>
      <c r="G7" s="187" t="s">
        <v>948</v>
      </c>
      <c r="H7" s="239"/>
      <c r="I7" s="240"/>
      <c r="J7" s="240"/>
      <c r="K7" s="240"/>
      <c r="L7" s="241"/>
      <c r="M7" s="767" t="s">
        <v>3984</v>
      </c>
      <c r="N7" s="185"/>
      <c r="O7" s="768" t="s">
        <v>1712</v>
      </c>
      <c r="P7" s="185"/>
      <c r="Q7" s="185"/>
      <c r="R7" s="185"/>
    </row>
    <row r="8" spans="2:18" ht="12" customHeight="1" x14ac:dyDescent="0.2">
      <c r="B8" s="251" t="str">
        <f>'DAC-1'!B8</f>
        <v>Jul &amp; Aug</v>
      </c>
      <c r="C8" s="194">
        <f>'DAC-1'!C8</f>
        <v>0.5</v>
      </c>
      <c r="D8" s="556">
        <f>'DAC-1'!F8</f>
        <v>75</v>
      </c>
      <c r="E8" s="541">
        <f>'DAC-1'!H8</f>
        <v>0.93</v>
      </c>
      <c r="F8" s="260"/>
      <c r="G8" s="188">
        <f>F8</f>
        <v>0</v>
      </c>
      <c r="H8" s="276"/>
      <c r="I8" s="277"/>
      <c r="J8" s="278"/>
      <c r="K8" s="245"/>
      <c r="L8" s="279"/>
      <c r="M8" s="545">
        <v>80</v>
      </c>
      <c r="O8" s="766" t="e">
        <f>100*F35</f>
        <v>#DIV/0!</v>
      </c>
      <c r="P8" s="203" t="s">
        <v>2343</v>
      </c>
      <c r="Q8" s="185"/>
      <c r="R8" s="185"/>
    </row>
    <row r="9" spans="2:18" ht="12" customHeight="1" x14ac:dyDescent="0.2">
      <c r="B9" s="179" t="s">
        <v>2508</v>
      </c>
      <c r="C9" s="180"/>
      <c r="D9" s="180"/>
      <c r="E9" s="180"/>
      <c r="F9" s="180"/>
      <c r="G9" s="180"/>
      <c r="H9" s="180"/>
      <c r="I9" s="180"/>
      <c r="J9" s="180"/>
      <c r="K9" s="180"/>
      <c r="L9" s="180"/>
      <c r="M9" s="181"/>
      <c r="O9" s="185" t="s">
        <v>2509</v>
      </c>
    </row>
    <row r="10" spans="2:18" ht="12" customHeight="1" x14ac:dyDescent="0.2">
      <c r="B10" s="179" t="s">
        <v>2510</v>
      </c>
      <c r="C10" s="180"/>
      <c r="D10" s="180"/>
      <c r="E10" s="180"/>
      <c r="F10" s="180"/>
      <c r="G10" s="180"/>
      <c r="H10" s="180"/>
      <c r="I10" s="180"/>
      <c r="J10" s="180"/>
      <c r="K10" s="180"/>
      <c r="L10" s="180"/>
      <c r="M10" s="181"/>
    </row>
    <row r="11" spans="2:18" ht="12" customHeight="1" x14ac:dyDescent="0.2">
      <c r="B11" s="179"/>
      <c r="C11" s="180"/>
      <c r="D11" s="180"/>
      <c r="E11" s="180"/>
      <c r="F11" s="180"/>
      <c r="G11" s="180"/>
      <c r="H11" s="180"/>
      <c r="I11" s="180"/>
      <c r="J11" s="180"/>
      <c r="K11" s="180"/>
      <c r="L11" s="180"/>
      <c r="M11" s="181"/>
      <c r="O11" s="670"/>
      <c r="P11" s="795" t="s">
        <v>410</v>
      </c>
    </row>
    <row r="12" spans="2:18" ht="12" customHeight="1" x14ac:dyDescent="0.2">
      <c r="B12" s="2113" t="s">
        <v>925</v>
      </c>
      <c r="C12" s="2114"/>
      <c r="D12" s="2114"/>
      <c r="E12" s="2114"/>
      <c r="F12" s="2114"/>
      <c r="G12" s="2114"/>
      <c r="H12" s="2114"/>
      <c r="I12" s="2114"/>
      <c r="J12" s="2114"/>
      <c r="K12" s="2114"/>
      <c r="L12" s="2114"/>
      <c r="M12" s="2115"/>
      <c r="O12" s="493"/>
      <c r="P12" s="852" t="s">
        <v>411</v>
      </c>
    </row>
    <row r="13" spans="2:18" ht="12" customHeight="1" x14ac:dyDescent="0.2">
      <c r="B13" s="189" t="s">
        <v>926</v>
      </c>
      <c r="C13" s="190"/>
      <c r="D13" s="182" t="s">
        <v>943</v>
      </c>
      <c r="E13" s="182" t="s">
        <v>943</v>
      </c>
      <c r="F13" s="236"/>
      <c r="G13" s="237"/>
      <c r="H13" s="237"/>
      <c r="I13" s="237"/>
      <c r="J13" s="237"/>
      <c r="K13" s="237"/>
      <c r="L13" s="237"/>
      <c r="M13" s="238"/>
      <c r="P13" s="852"/>
    </row>
    <row r="14" spans="2:18" ht="12" customHeight="1" x14ac:dyDescent="0.2">
      <c r="B14" s="192" t="s">
        <v>3496</v>
      </c>
      <c r="C14" s="178"/>
      <c r="D14" s="186" t="s">
        <v>3497</v>
      </c>
      <c r="E14" s="186" t="s">
        <v>927</v>
      </c>
      <c r="F14" s="239"/>
      <c r="G14" s="240"/>
      <c r="H14" s="240"/>
      <c r="I14" s="240"/>
      <c r="J14" s="240"/>
      <c r="K14" s="240"/>
      <c r="L14" s="240"/>
      <c r="M14" s="241"/>
      <c r="O14" s="793" t="s">
        <v>3863</v>
      </c>
      <c r="P14" s="185"/>
    </row>
    <row r="15" spans="2:18" ht="12" customHeight="1" x14ac:dyDescent="0.2">
      <c r="B15" s="794"/>
      <c r="C15" s="544"/>
      <c r="D15" s="545"/>
      <c r="E15" s="196">
        <f>-D15*(M8-D8)</f>
        <v>0</v>
      </c>
      <c r="F15" s="242"/>
      <c r="G15" s="243"/>
      <c r="H15" s="244"/>
      <c r="I15" s="244"/>
      <c r="J15" s="244"/>
      <c r="K15" s="245"/>
      <c r="L15" s="246"/>
      <c r="M15" s="247"/>
      <c r="O15" s="793" t="s">
        <v>2830</v>
      </c>
      <c r="P15" s="791"/>
    </row>
    <row r="16" spans="2:18" ht="12" customHeight="1" x14ac:dyDescent="0.2">
      <c r="B16" s="216" t="s">
        <v>13</v>
      </c>
      <c r="C16" s="180"/>
      <c r="D16" s="180"/>
      <c r="E16" s="180"/>
      <c r="F16" s="180"/>
      <c r="G16" s="180"/>
      <c r="H16" s="180"/>
      <c r="I16" s="180"/>
      <c r="J16" s="180"/>
      <c r="K16" s="180"/>
      <c r="L16" s="180"/>
      <c r="M16" s="197"/>
      <c r="P16" s="793"/>
    </row>
    <row r="17" spans="2:13" ht="12" customHeight="1" x14ac:dyDescent="0.2">
      <c r="B17" s="179"/>
      <c r="C17" s="180"/>
      <c r="D17" s="180"/>
      <c r="E17" s="180"/>
      <c r="F17" s="180"/>
      <c r="G17" s="180"/>
      <c r="H17" s="180"/>
      <c r="I17" s="180"/>
      <c r="J17" s="180"/>
      <c r="K17" s="180"/>
      <c r="L17" s="180"/>
      <c r="M17" s="181"/>
    </row>
    <row r="18" spans="2:13" ht="12" customHeight="1" x14ac:dyDescent="0.2">
      <c r="B18" s="2113" t="s">
        <v>418</v>
      </c>
      <c r="C18" s="2114"/>
      <c r="D18" s="2114"/>
      <c r="E18" s="2114"/>
      <c r="F18" s="2113" t="s">
        <v>419</v>
      </c>
      <c r="G18" s="2114"/>
      <c r="H18" s="2114"/>
      <c r="I18" s="2113" t="s">
        <v>939</v>
      </c>
      <c r="J18" s="2114"/>
      <c r="K18" s="2114"/>
      <c r="L18" s="2114"/>
      <c r="M18" s="2115"/>
    </row>
    <row r="19" spans="2:13" ht="12" customHeight="1" x14ac:dyDescent="0.2">
      <c r="B19" s="199" t="s">
        <v>940</v>
      </c>
      <c r="C19" s="199" t="s">
        <v>941</v>
      </c>
      <c r="D19" s="200" t="s">
        <v>3502</v>
      </c>
      <c r="E19" s="200" t="s">
        <v>942</v>
      </c>
      <c r="F19" s="200" t="s">
        <v>3502</v>
      </c>
      <c r="G19" s="200" t="s">
        <v>3502</v>
      </c>
      <c r="H19" s="200" t="s">
        <v>3502</v>
      </c>
      <c r="I19" s="200" t="s">
        <v>1180</v>
      </c>
      <c r="J19" s="200" t="s">
        <v>3110</v>
      </c>
      <c r="K19" s="200" t="s">
        <v>943</v>
      </c>
      <c r="L19" s="200" t="s">
        <v>3789</v>
      </c>
      <c r="M19" s="199" t="s">
        <v>415</v>
      </c>
    </row>
    <row r="20" spans="2:13" ht="12" customHeight="1" x14ac:dyDescent="0.2">
      <c r="B20" s="201" t="s">
        <v>1179</v>
      </c>
      <c r="C20" s="202" t="s">
        <v>3357</v>
      </c>
      <c r="D20" s="202" t="s">
        <v>948</v>
      </c>
      <c r="E20" s="202" t="s">
        <v>3501</v>
      </c>
      <c r="F20" s="202" t="s">
        <v>945</v>
      </c>
      <c r="G20" s="202" t="s">
        <v>1095</v>
      </c>
      <c r="H20" s="202" t="s">
        <v>946</v>
      </c>
      <c r="I20" s="202" t="s">
        <v>947</v>
      </c>
      <c r="J20" s="202" t="s">
        <v>3984</v>
      </c>
      <c r="K20" s="202" t="s">
        <v>948</v>
      </c>
      <c r="L20" s="202" t="s">
        <v>949</v>
      </c>
      <c r="M20" s="201" t="s">
        <v>946</v>
      </c>
    </row>
    <row r="21" spans="2:13" ht="12" customHeight="1" x14ac:dyDescent="0.2">
      <c r="B21" s="186" t="s">
        <v>950</v>
      </c>
      <c r="C21" s="186" t="s">
        <v>1179</v>
      </c>
      <c r="D21" s="187"/>
      <c r="E21" s="187"/>
      <c r="F21" s="187"/>
      <c r="G21" s="187" t="s">
        <v>951</v>
      </c>
      <c r="H21" s="187"/>
      <c r="I21" s="187" t="s">
        <v>1179</v>
      </c>
      <c r="J21" s="187" t="s">
        <v>3471</v>
      </c>
      <c r="K21" s="187" t="s">
        <v>2967</v>
      </c>
      <c r="L21" s="187" t="s">
        <v>3984</v>
      </c>
      <c r="M21" s="186"/>
    </row>
    <row r="22" spans="2:13" ht="12" customHeight="1" x14ac:dyDescent="0.2">
      <c r="B22" s="188">
        <f>'Wrk E'!O13</f>
        <v>0</v>
      </c>
      <c r="C22" s="260"/>
      <c r="D22" s="188">
        <f>G8</f>
        <v>0</v>
      </c>
      <c r="E22" s="205" t="e">
        <f>(B22+C22)/D22</f>
        <v>#DIV/0!</v>
      </c>
      <c r="F22" s="546"/>
      <c r="G22" s="546"/>
      <c r="H22" s="205">
        <f>-G22*(M8-D8)</f>
        <v>0</v>
      </c>
      <c r="I22" s="188" t="e">
        <f>'Form N1'!#REF!</f>
        <v>#REF!</v>
      </c>
      <c r="J22" s="251">
        <v>55</v>
      </c>
      <c r="K22" s="188">
        <f>F8</f>
        <v>0</v>
      </c>
      <c r="L22" s="873">
        <f>IF(L25=0,IF(F8=0,0,I22/(1.1*E8*(D8-J22)*K22)),L25)</f>
        <v>0</v>
      </c>
      <c r="M22" s="206">
        <f>-1.1*E8*L22*(M8-D8)</f>
        <v>0</v>
      </c>
    </row>
    <row r="23" spans="2:13" ht="12" customHeight="1" x14ac:dyDescent="0.2">
      <c r="B23" s="179" t="s">
        <v>3354</v>
      </c>
      <c r="C23" s="180"/>
      <c r="D23" s="180"/>
      <c r="E23" s="180"/>
      <c r="F23" s="180"/>
      <c r="G23" s="180"/>
      <c r="H23" s="180"/>
      <c r="I23" s="180"/>
      <c r="J23" s="180"/>
      <c r="K23" s="180"/>
      <c r="L23" s="199" t="s">
        <v>3414</v>
      </c>
      <c r="M23" s="181"/>
    </row>
    <row r="24" spans="2:13" ht="12" customHeight="1" x14ac:dyDescent="0.2">
      <c r="B24" s="252" t="s">
        <v>14</v>
      </c>
      <c r="C24" s="208"/>
      <c r="D24" s="208"/>
      <c r="E24" s="208"/>
      <c r="F24" s="208"/>
      <c r="G24" s="208"/>
      <c r="H24" s="208"/>
      <c r="I24" s="180"/>
      <c r="J24" s="180"/>
      <c r="K24" s="180"/>
      <c r="L24" s="186" t="s">
        <v>3413</v>
      </c>
      <c r="M24" s="181"/>
    </row>
    <row r="25" spans="2:13" ht="12" customHeight="1" x14ac:dyDescent="0.2">
      <c r="B25" s="179" t="s">
        <v>1685</v>
      </c>
      <c r="C25" s="208"/>
      <c r="D25" s="208"/>
      <c r="E25" s="208"/>
      <c r="F25" s="208"/>
      <c r="G25" s="208"/>
      <c r="H25" s="208"/>
      <c r="I25" s="180"/>
      <c r="J25" s="180"/>
      <c r="K25" s="180"/>
      <c r="L25" s="467"/>
      <c r="M25" s="181"/>
    </row>
    <row r="26" spans="2:13" ht="12" customHeight="1" x14ac:dyDescent="0.2">
      <c r="B26" s="252" t="s">
        <v>3356</v>
      </c>
      <c r="C26" s="208"/>
      <c r="D26" s="208"/>
      <c r="E26" s="208"/>
      <c r="F26" s="208"/>
      <c r="G26" s="208"/>
      <c r="H26" s="208"/>
      <c r="I26" s="180"/>
      <c r="J26" s="180"/>
      <c r="K26" s="180"/>
      <c r="M26" s="181"/>
    </row>
    <row r="27" spans="2:13" ht="12" customHeight="1" x14ac:dyDescent="0.2">
      <c r="B27" s="252" t="s">
        <v>835</v>
      </c>
      <c r="C27" s="208"/>
      <c r="D27" s="208"/>
      <c r="E27" s="208"/>
      <c r="F27" s="208"/>
      <c r="G27" s="208"/>
      <c r="H27" s="208"/>
      <c r="I27" s="208"/>
      <c r="J27" s="208"/>
      <c r="K27" s="208"/>
      <c r="L27" s="208"/>
      <c r="M27" s="181"/>
    </row>
    <row r="28" spans="2:13" ht="12" customHeight="1" x14ac:dyDescent="0.2">
      <c r="B28" s="179" t="s">
        <v>405</v>
      </c>
      <c r="C28" s="208"/>
      <c r="D28" s="208"/>
      <c r="E28" s="208"/>
      <c r="F28" s="208"/>
      <c r="G28" s="208"/>
      <c r="H28" s="208"/>
      <c r="I28" s="208"/>
      <c r="J28" s="208"/>
      <c r="K28" s="208"/>
      <c r="L28" s="208"/>
      <c r="M28" s="181"/>
    </row>
    <row r="29" spans="2:13" ht="12" customHeight="1" x14ac:dyDescent="0.2">
      <c r="B29" s="179" t="s">
        <v>3360</v>
      </c>
      <c r="C29" s="180"/>
      <c r="D29" s="180"/>
      <c r="E29" s="180"/>
      <c r="F29" s="180"/>
      <c r="G29" s="180"/>
      <c r="H29" s="180"/>
      <c r="I29" s="180"/>
      <c r="J29" s="180"/>
      <c r="K29" s="180"/>
      <c r="L29" s="180"/>
      <c r="M29" s="181"/>
    </row>
    <row r="30" spans="2:13" ht="12" customHeight="1" x14ac:dyDescent="0.2">
      <c r="B30" s="179"/>
      <c r="C30" s="180"/>
      <c r="D30" s="180"/>
      <c r="E30" s="180"/>
      <c r="F30" s="180"/>
      <c r="G30" s="180"/>
      <c r="H30" s="180"/>
      <c r="I30" s="180"/>
      <c r="J30" s="180"/>
      <c r="K30" s="180"/>
      <c r="L30" s="180"/>
      <c r="M30" s="181"/>
    </row>
    <row r="31" spans="2:13" ht="12" customHeight="1" x14ac:dyDescent="0.2">
      <c r="B31" s="2113" t="s">
        <v>3361</v>
      </c>
      <c r="C31" s="2114"/>
      <c r="D31" s="2114"/>
      <c r="E31" s="2114"/>
      <c r="F31" s="2115"/>
      <c r="G31" s="183" t="s">
        <v>1749</v>
      </c>
      <c r="H31" s="227"/>
      <c r="I31" s="2137" t="s">
        <v>2840</v>
      </c>
      <c r="J31" s="1315"/>
      <c r="K31" s="2137" t="s">
        <v>1689</v>
      </c>
      <c r="L31" s="2143"/>
      <c r="M31" s="2144"/>
    </row>
    <row r="32" spans="2:13" ht="12" customHeight="1" x14ac:dyDescent="0.2">
      <c r="B32" s="199" t="s">
        <v>943</v>
      </c>
      <c r="C32" s="199" t="s">
        <v>942</v>
      </c>
      <c r="D32" s="199" t="s">
        <v>3502</v>
      </c>
      <c r="E32" s="199" t="s">
        <v>415</v>
      </c>
      <c r="F32" s="199" t="s">
        <v>1426</v>
      </c>
      <c r="G32" s="202" t="s">
        <v>1053</v>
      </c>
      <c r="H32" s="231"/>
      <c r="I32" s="757" t="s">
        <v>3419</v>
      </c>
      <c r="J32" s="757" t="s">
        <v>3419</v>
      </c>
      <c r="K32" s="761" t="s">
        <v>1749</v>
      </c>
      <c r="L32" s="757" t="s">
        <v>1750</v>
      </c>
      <c r="M32" s="757" t="s">
        <v>3983</v>
      </c>
    </row>
    <row r="33" spans="2:13" ht="12" customHeight="1" x14ac:dyDescent="0.2">
      <c r="B33" s="201" t="s">
        <v>946</v>
      </c>
      <c r="C33" s="201" t="s">
        <v>1428</v>
      </c>
      <c r="D33" s="201" t="s">
        <v>946</v>
      </c>
      <c r="E33" s="201" t="s">
        <v>946</v>
      </c>
      <c r="F33" s="201" t="s">
        <v>1429</v>
      </c>
      <c r="G33" s="202" t="s">
        <v>1751</v>
      </c>
      <c r="H33" s="231"/>
      <c r="I33" s="758" t="s">
        <v>3984</v>
      </c>
      <c r="J33" s="758" t="s">
        <v>3983</v>
      </c>
      <c r="K33" s="762" t="s">
        <v>1053</v>
      </c>
      <c r="L33" s="762" t="s">
        <v>1053</v>
      </c>
      <c r="M33" s="762" t="s">
        <v>1053</v>
      </c>
    </row>
    <row r="34" spans="2:13" ht="12" customHeight="1" x14ac:dyDescent="0.2">
      <c r="B34" s="214"/>
      <c r="C34" s="214"/>
      <c r="D34" s="214"/>
      <c r="E34" s="214"/>
      <c r="F34" s="186"/>
      <c r="G34" s="891"/>
      <c r="H34" s="231"/>
      <c r="I34" s="759" t="s">
        <v>3421</v>
      </c>
      <c r="J34" s="759" t="s">
        <v>3421</v>
      </c>
      <c r="K34" s="763" t="s">
        <v>1751</v>
      </c>
      <c r="L34" s="763" t="s">
        <v>1751</v>
      </c>
      <c r="M34" s="763" t="s">
        <v>1751</v>
      </c>
    </row>
    <row r="35" spans="2:13" ht="12" customHeight="1" x14ac:dyDescent="0.2">
      <c r="B35" s="280">
        <f>E15</f>
        <v>0</v>
      </c>
      <c r="C35" s="280" t="e">
        <f>E22</f>
        <v>#DIV/0!</v>
      </c>
      <c r="D35" s="280">
        <f>H22</f>
        <v>0</v>
      </c>
      <c r="E35" s="280">
        <f>M22</f>
        <v>0</v>
      </c>
      <c r="F35" s="281" t="e">
        <f>SUM(B35:E35)</f>
        <v>#DIV/0!</v>
      </c>
      <c r="G35" s="892">
        <f>-M22*K22</f>
        <v>0</v>
      </c>
      <c r="H35" s="234"/>
      <c r="I35" s="774">
        <f>O11</f>
        <v>0</v>
      </c>
      <c r="J35" s="774">
        <f>'Wrk A'!D25</f>
        <v>70</v>
      </c>
      <c r="K35" s="893">
        <f>O12</f>
        <v>0</v>
      </c>
      <c r="L35" s="757" t="s">
        <v>1432</v>
      </c>
      <c r="M35" s="757" t="s">
        <v>1432</v>
      </c>
    </row>
    <row r="36" spans="2:13" ht="12" customHeight="1" x14ac:dyDescent="0.2">
      <c r="B36" s="216" t="s">
        <v>3986</v>
      </c>
      <c r="C36" s="217"/>
      <c r="D36" s="217"/>
      <c r="E36" s="217"/>
      <c r="F36" s="217"/>
      <c r="G36" s="217"/>
      <c r="H36" s="217"/>
      <c r="I36" s="217"/>
      <c r="J36" s="218"/>
      <c r="K36" s="218"/>
      <c r="L36" s="218"/>
      <c r="M36" s="219"/>
    </row>
    <row r="37" spans="2:13" ht="12" customHeight="1" x14ac:dyDescent="0.2">
      <c r="B37" s="179" t="s">
        <v>1709</v>
      </c>
      <c r="C37" s="208"/>
      <c r="D37" s="208"/>
      <c r="E37" s="208"/>
      <c r="F37" s="208"/>
      <c r="G37" s="208"/>
      <c r="H37" s="208"/>
      <c r="I37" s="208"/>
      <c r="J37" s="180"/>
      <c r="K37" s="180"/>
      <c r="L37" s="180"/>
      <c r="M37" s="181"/>
    </row>
    <row r="38" spans="2:13" ht="12" customHeight="1" x14ac:dyDescent="0.2">
      <c r="B38" s="179" t="s">
        <v>1710</v>
      </c>
      <c r="C38" s="180"/>
      <c r="D38" s="180"/>
      <c r="E38" s="180"/>
      <c r="F38" s="180"/>
      <c r="G38" s="180"/>
      <c r="H38" s="180"/>
      <c r="I38" s="180"/>
      <c r="J38" s="180"/>
      <c r="K38" s="180"/>
      <c r="L38" s="180"/>
      <c r="M38" s="181"/>
    </row>
    <row r="39" spans="2:13" ht="12" customHeight="1" x14ac:dyDescent="0.2">
      <c r="B39" s="220" t="s">
        <v>1690</v>
      </c>
      <c r="C39" s="221"/>
      <c r="D39" s="221"/>
      <c r="E39" s="221"/>
      <c r="F39" s="221"/>
      <c r="G39" s="221"/>
      <c r="H39" s="221"/>
      <c r="I39" s="221"/>
      <c r="J39" s="221"/>
      <c r="K39" s="221"/>
      <c r="L39" s="221"/>
      <c r="M39" s="222"/>
    </row>
    <row r="40" spans="2:13" ht="12" customHeight="1" x14ac:dyDescent="0.2">
      <c r="B40" s="180"/>
      <c r="C40" s="180"/>
      <c r="D40" s="180"/>
      <c r="E40" s="180"/>
      <c r="F40" s="180"/>
      <c r="G40" s="180"/>
      <c r="H40" s="180"/>
      <c r="I40" s="180"/>
      <c r="J40" s="180"/>
      <c r="K40" s="180"/>
      <c r="L40" s="180"/>
      <c r="M40" s="180"/>
    </row>
  </sheetData>
  <mergeCells count="10">
    <mergeCell ref="I31:J31"/>
    <mergeCell ref="B31:F31"/>
    <mergeCell ref="K31:M31"/>
    <mergeCell ref="B2:M2"/>
    <mergeCell ref="B3:M3"/>
    <mergeCell ref="B18:E18"/>
    <mergeCell ref="F18:H18"/>
    <mergeCell ref="I18:M18"/>
    <mergeCell ref="B5:M5"/>
    <mergeCell ref="B12:M12"/>
  </mergeCells>
  <phoneticPr fontId="27" type="noConversion"/>
  <pageMargins left="0.75" right="0.75" top="1" bottom="1" header="0.5" footer="0.5"/>
  <pageSetup orientation="portrait" r:id="rId1"/>
  <headerFooter alignWithMargins="0"/>
  <drawing r:id="rId2"/>
  <legacyDrawing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9"/>
  <dimension ref="B2:M39"/>
  <sheetViews>
    <sheetView workbookViewId="0">
      <selection activeCell="B38" sqref="B38"/>
    </sheetView>
  </sheetViews>
  <sheetFormatPr defaultColWidth="8.7109375" defaultRowHeight="12" customHeight="1" x14ac:dyDescent="0.2"/>
  <cols>
    <col min="1" max="1" width="3.5703125" style="174" customWidth="1"/>
    <col min="2" max="16384" width="8.7109375" style="174"/>
  </cols>
  <sheetData>
    <row r="2" spans="2:13" ht="12" customHeight="1" x14ac:dyDescent="0.2">
      <c r="B2" s="2116" t="s">
        <v>902</v>
      </c>
      <c r="C2" s="1960"/>
      <c r="D2" s="1960"/>
      <c r="E2" s="1960"/>
      <c r="F2" s="1960"/>
      <c r="G2" s="1960"/>
      <c r="H2" s="1960"/>
      <c r="I2" s="1960"/>
      <c r="J2" s="1960"/>
      <c r="K2" s="1960"/>
      <c r="L2" s="1960"/>
      <c r="M2" s="2117"/>
    </row>
    <row r="3" spans="2:13" ht="12" customHeight="1" x14ac:dyDescent="0.2">
      <c r="B3" s="2118" t="s">
        <v>3735</v>
      </c>
      <c r="C3" s="2119"/>
      <c r="D3" s="2119"/>
      <c r="E3" s="2119"/>
      <c r="F3" s="2119"/>
      <c r="G3" s="2119"/>
      <c r="H3" s="2119"/>
      <c r="I3" s="2119"/>
      <c r="J3" s="2119"/>
      <c r="K3" s="2119"/>
      <c r="L3" s="2119"/>
      <c r="M3" s="2120"/>
    </row>
    <row r="4" spans="2:13" ht="12" customHeight="1" x14ac:dyDescent="0.2">
      <c r="B4" s="220"/>
      <c r="C4" s="221"/>
      <c r="D4" s="221"/>
      <c r="E4" s="454" t="s">
        <v>476</v>
      </c>
      <c r="F4" s="685" t="str">
        <f>'Wrk A'!$H$5</f>
        <v>Block</v>
      </c>
      <c r="G4" s="919" t="s">
        <v>3985</v>
      </c>
      <c r="H4" s="920" t="str">
        <f>'Wrk A'!C15</f>
        <v>Jul &amp; Aug</v>
      </c>
      <c r="I4" s="919" t="s">
        <v>1079</v>
      </c>
      <c r="J4" s="951">
        <f>'Wrk A'!K16</f>
        <v>0.5</v>
      </c>
      <c r="K4" s="221"/>
      <c r="L4" s="221"/>
      <c r="M4" s="222"/>
    </row>
    <row r="5" spans="2:13" ht="12" customHeight="1" x14ac:dyDescent="0.2">
      <c r="B5" s="216" t="s">
        <v>4121</v>
      </c>
      <c r="C5" s="218"/>
      <c r="D5" s="218"/>
      <c r="E5" s="218"/>
      <c r="F5" s="218"/>
      <c r="G5" s="218"/>
      <c r="H5" s="218"/>
      <c r="I5" s="218"/>
      <c r="J5" s="218"/>
      <c r="K5" s="218"/>
      <c r="L5" s="218"/>
      <c r="M5" s="219"/>
    </row>
    <row r="6" spans="2:13" ht="12" customHeight="1" x14ac:dyDescent="0.2">
      <c r="B6" s="471" t="s">
        <v>4119</v>
      </c>
      <c r="C6" s="180"/>
      <c r="D6" s="180"/>
      <c r="E6" s="180"/>
      <c r="F6" s="180"/>
      <c r="G6" s="180"/>
      <c r="H6" s="180"/>
      <c r="I6" s="180"/>
      <c r="J6" s="180"/>
      <c r="K6" s="180"/>
      <c r="L6" s="180"/>
      <c r="M6" s="181"/>
    </row>
    <row r="7" spans="2:13" ht="12" customHeight="1" x14ac:dyDescent="0.2">
      <c r="B7" s="471" t="s">
        <v>903</v>
      </c>
      <c r="C7" s="180"/>
      <c r="D7" s="180"/>
      <c r="E7" s="180"/>
      <c r="F7" s="180"/>
      <c r="G7" s="180"/>
      <c r="H7" s="180"/>
      <c r="I7" s="180"/>
      <c r="J7" s="180"/>
      <c r="K7" s="180"/>
      <c r="L7" s="180"/>
      <c r="M7" s="181"/>
    </row>
    <row r="8" spans="2:13" ht="12" customHeight="1" x14ac:dyDescent="0.2">
      <c r="B8" s="471" t="s">
        <v>4118</v>
      </c>
      <c r="C8" s="180"/>
      <c r="D8" s="180"/>
      <c r="E8" s="180"/>
      <c r="F8" s="180"/>
      <c r="G8" s="180"/>
      <c r="H8" s="180"/>
      <c r="I8" s="180"/>
      <c r="J8" s="180"/>
      <c r="K8" s="180"/>
      <c r="L8" s="180"/>
      <c r="M8" s="181"/>
    </row>
    <row r="9" spans="2:13" ht="12" customHeight="1" x14ac:dyDescent="0.2">
      <c r="B9" s="471" t="s">
        <v>4120</v>
      </c>
      <c r="C9" s="180"/>
      <c r="D9" s="180"/>
      <c r="E9" s="180"/>
      <c r="F9" s="180"/>
      <c r="G9" s="180"/>
      <c r="H9" s="180"/>
      <c r="I9" s="180"/>
      <c r="J9" s="180"/>
      <c r="L9" s="798" t="s">
        <v>2589</v>
      </c>
      <c r="M9" s="866">
        <f>S7</f>
        <v>0</v>
      </c>
    </row>
    <row r="10" spans="2:13" ht="12" customHeight="1" x14ac:dyDescent="0.2">
      <c r="B10" s="471" t="s">
        <v>905</v>
      </c>
      <c r="C10" s="478"/>
      <c r="D10" s="478"/>
      <c r="E10" s="478"/>
      <c r="F10" s="478"/>
      <c r="G10" s="180"/>
      <c r="H10" s="180"/>
      <c r="I10" s="180"/>
      <c r="J10" s="180"/>
      <c r="K10" s="180"/>
      <c r="L10" s="798" t="s">
        <v>2885</v>
      </c>
      <c r="M10" s="867">
        <f>S5</f>
        <v>0</v>
      </c>
    </row>
    <row r="11" spans="2:13" ht="12" customHeight="1" x14ac:dyDescent="0.2">
      <c r="B11" s="471" t="s">
        <v>3089</v>
      </c>
      <c r="C11" s="478"/>
      <c r="D11" s="478"/>
      <c r="E11" s="478"/>
      <c r="F11" s="478"/>
      <c r="G11" s="180"/>
      <c r="H11" s="180"/>
      <c r="I11" s="180"/>
      <c r="J11" s="180"/>
      <c r="K11" s="180"/>
      <c r="L11" s="798" t="s">
        <v>2886</v>
      </c>
      <c r="M11" s="867">
        <f>S6</f>
        <v>0</v>
      </c>
    </row>
    <row r="12" spans="2:13" ht="12" customHeight="1" x14ac:dyDescent="0.2">
      <c r="B12" s="192" t="s">
        <v>2167</v>
      </c>
      <c r="C12" s="797"/>
      <c r="D12" s="797"/>
      <c r="E12" s="797"/>
      <c r="F12" s="797"/>
      <c r="G12" s="221"/>
      <c r="H12" s="221"/>
      <c r="I12" s="221"/>
      <c r="J12" s="221"/>
      <c r="K12" s="221"/>
      <c r="L12" s="221"/>
      <c r="M12" s="222"/>
    </row>
    <row r="13" spans="2:13" ht="12" customHeight="1" x14ac:dyDescent="0.2">
      <c r="B13" s="203"/>
      <c r="C13" s="175"/>
      <c r="D13" s="175"/>
      <c r="E13" s="175"/>
      <c r="F13" s="175"/>
      <c r="M13" s="271"/>
    </row>
    <row r="14" spans="2:13" ht="12" customHeight="1" x14ac:dyDescent="0.2">
      <c r="B14" s="2159" t="s">
        <v>3681</v>
      </c>
      <c r="C14" s="2160"/>
      <c r="D14" s="2160"/>
      <c r="E14" s="2160"/>
      <c r="F14" s="2160"/>
      <c r="G14" s="2160"/>
      <c r="H14" s="2160"/>
      <c r="I14" s="2160"/>
      <c r="J14" s="2160"/>
      <c r="K14" s="2160"/>
      <c r="L14" s="2160"/>
      <c r="M14" s="2161"/>
    </row>
    <row r="15" spans="2:13" ht="12" customHeight="1" x14ac:dyDescent="0.2">
      <c r="B15" s="802" t="s">
        <v>1687</v>
      </c>
      <c r="C15" s="803"/>
      <c r="D15" s="803"/>
      <c r="E15" s="803"/>
      <c r="F15" s="804"/>
      <c r="G15" s="806"/>
      <c r="H15" s="806"/>
      <c r="I15" s="802" t="s">
        <v>1688</v>
      </c>
      <c r="J15" s="803"/>
      <c r="K15" s="803"/>
      <c r="L15" s="803"/>
      <c r="M15" s="804"/>
    </row>
    <row r="16" spans="2:13" ht="12" customHeight="1" x14ac:dyDescent="0.2">
      <c r="B16" s="799" t="s">
        <v>3091</v>
      </c>
      <c r="C16" s="183" t="s">
        <v>3419</v>
      </c>
      <c r="D16" s="199" t="s">
        <v>3415</v>
      </c>
      <c r="E16" s="199" t="s">
        <v>1055</v>
      </c>
      <c r="F16" s="199" t="s">
        <v>1302</v>
      </c>
      <c r="G16" s="806"/>
      <c r="H16" s="806"/>
      <c r="I16" s="799" t="s">
        <v>3091</v>
      </c>
      <c r="J16" s="183" t="s">
        <v>3419</v>
      </c>
      <c r="K16" s="199" t="s">
        <v>3415</v>
      </c>
      <c r="L16" s="199" t="s">
        <v>1055</v>
      </c>
      <c r="M16" s="199" t="s">
        <v>1302</v>
      </c>
    </row>
    <row r="17" spans="2:13" ht="12" customHeight="1" x14ac:dyDescent="0.2">
      <c r="B17" s="801" t="s">
        <v>3090</v>
      </c>
      <c r="C17" s="202" t="s">
        <v>3984</v>
      </c>
      <c r="D17" s="201" t="s">
        <v>3416</v>
      </c>
      <c r="E17" s="201" t="s">
        <v>3416</v>
      </c>
      <c r="F17" s="201" t="s">
        <v>1696</v>
      </c>
      <c r="G17" s="806"/>
      <c r="H17" s="806"/>
      <c r="I17" s="801" t="s">
        <v>3090</v>
      </c>
      <c r="J17" s="202" t="s">
        <v>3983</v>
      </c>
      <c r="K17" s="201" t="s">
        <v>3416</v>
      </c>
      <c r="L17" s="201" t="s">
        <v>3416</v>
      </c>
      <c r="M17" s="201" t="s">
        <v>1696</v>
      </c>
    </row>
    <row r="18" spans="2:13" ht="12" customHeight="1" x14ac:dyDescent="0.2">
      <c r="B18" s="511"/>
      <c r="C18" s="187" t="s">
        <v>3421</v>
      </c>
      <c r="D18" s="511"/>
      <c r="E18" s="511"/>
      <c r="F18" s="186" t="s">
        <v>1695</v>
      </c>
      <c r="G18" s="806"/>
      <c r="H18" s="806"/>
      <c r="I18" s="511"/>
      <c r="J18" s="187" t="s">
        <v>3421</v>
      </c>
      <c r="K18" s="511"/>
      <c r="L18" s="511"/>
      <c r="M18" s="186" t="s">
        <v>1695</v>
      </c>
    </row>
    <row r="19" spans="2:13" ht="12" customHeight="1" x14ac:dyDescent="0.2">
      <c r="B19" s="800" t="s">
        <v>2578</v>
      </c>
      <c r="C19" s="661">
        <f>'RAP-1'!O11</f>
        <v>0</v>
      </c>
      <c r="D19" s="573">
        <f>M10</f>
        <v>0</v>
      </c>
      <c r="E19" s="2121">
        <f>M9</f>
        <v>0</v>
      </c>
      <c r="F19" s="2162" t="e">
        <f>(C19*D19+C20*D20)/E19</f>
        <v>#DIV/0!</v>
      </c>
      <c r="G19" s="806"/>
      <c r="H19" s="806"/>
      <c r="I19" s="800" t="s">
        <v>2578</v>
      </c>
      <c r="J19" s="661">
        <f>'RAP-1'!O50</f>
        <v>0</v>
      </c>
      <c r="K19" s="573">
        <f>M10</f>
        <v>0</v>
      </c>
      <c r="L19" s="2121">
        <f>M9</f>
        <v>0</v>
      </c>
      <c r="M19" s="2162" t="e">
        <f>(J19*K19+J20*K20)/L19</f>
        <v>#DIV/0!</v>
      </c>
    </row>
    <row r="20" spans="2:13" ht="12" customHeight="1" x14ac:dyDescent="0.2">
      <c r="B20" s="805" t="s">
        <v>2579</v>
      </c>
      <c r="C20" s="851">
        <f>'RAP-2'!O11</f>
        <v>0</v>
      </c>
      <c r="D20" s="809">
        <f>M11</f>
        <v>0</v>
      </c>
      <c r="E20" s="2122"/>
      <c r="F20" s="2163"/>
      <c r="G20" s="806"/>
      <c r="H20" s="806"/>
      <c r="I20" s="805" t="s">
        <v>2579</v>
      </c>
      <c r="J20" s="851">
        <f>'Wrk A'!D25</f>
        <v>70</v>
      </c>
      <c r="K20" s="809">
        <f>M11</f>
        <v>0</v>
      </c>
      <c r="L20" s="2122"/>
      <c r="M20" s="2167"/>
    </row>
    <row r="21" spans="2:13" ht="12" customHeight="1" x14ac:dyDescent="0.2">
      <c r="B21" s="216" t="s">
        <v>3092</v>
      </c>
      <c r="C21" s="218"/>
      <c r="D21" s="218"/>
      <c r="E21" s="218"/>
      <c r="F21" s="218"/>
      <c r="G21" s="218"/>
      <c r="H21" s="218"/>
      <c r="I21" s="218"/>
      <c r="J21" s="218"/>
      <c r="K21" s="218"/>
      <c r="L21" s="218"/>
      <c r="M21" s="219"/>
    </row>
    <row r="22" spans="2:13" ht="12" customHeight="1" x14ac:dyDescent="0.2">
      <c r="B22" s="807" t="s">
        <v>2453</v>
      </c>
      <c r="C22" s="180"/>
      <c r="D22" s="180"/>
      <c r="E22" s="180"/>
      <c r="F22" s="180"/>
      <c r="G22" s="180"/>
      <c r="H22" s="180"/>
      <c r="I22" s="180"/>
      <c r="J22" s="180"/>
      <c r="K22" s="180"/>
      <c r="L22" s="180"/>
      <c r="M22" s="181"/>
    </row>
    <row r="23" spans="2:13" ht="12" customHeight="1" x14ac:dyDescent="0.2">
      <c r="B23" s="220" t="s">
        <v>50</v>
      </c>
      <c r="C23" s="221"/>
      <c r="D23" s="221"/>
      <c r="E23" s="221"/>
      <c r="F23" s="221"/>
      <c r="G23" s="221"/>
      <c r="H23" s="221"/>
      <c r="I23" s="221"/>
      <c r="J23" s="221"/>
      <c r="K23" s="221"/>
      <c r="L23" s="221"/>
      <c r="M23" s="222"/>
    </row>
    <row r="24" spans="2:13" ht="12" customHeight="1" x14ac:dyDescent="0.2">
      <c r="B24" s="180"/>
      <c r="C24" s="180"/>
      <c r="D24" s="180"/>
      <c r="E24" s="180"/>
      <c r="F24" s="180"/>
      <c r="G24" s="180"/>
      <c r="H24" s="180"/>
      <c r="I24" s="180"/>
      <c r="J24" s="180"/>
      <c r="K24" s="180"/>
      <c r="L24" s="180"/>
      <c r="M24" s="271"/>
    </row>
    <row r="25" spans="2:13" ht="12" customHeight="1" x14ac:dyDescent="0.2">
      <c r="B25" s="2159" t="s">
        <v>3682</v>
      </c>
      <c r="C25" s="2160"/>
      <c r="D25" s="2160"/>
      <c r="E25" s="2160"/>
      <c r="F25" s="2160"/>
      <c r="G25" s="2160"/>
      <c r="H25" s="2160"/>
      <c r="I25" s="2160"/>
      <c r="J25" s="2160"/>
      <c r="K25" s="2160"/>
      <c r="L25" s="2160"/>
      <c r="M25" s="2161"/>
    </row>
    <row r="26" spans="2:13" ht="12" customHeight="1" x14ac:dyDescent="0.2">
      <c r="B26" s="802" t="s">
        <v>2</v>
      </c>
      <c r="C26" s="803"/>
      <c r="D26" s="803"/>
      <c r="E26" s="803"/>
      <c r="F26" s="804"/>
      <c r="G26" s="806"/>
      <c r="H26" s="806"/>
      <c r="I26" s="802" t="s">
        <v>3088</v>
      </c>
      <c r="J26" s="803"/>
      <c r="K26" s="803"/>
      <c r="L26" s="803"/>
      <c r="M26" s="804"/>
    </row>
    <row r="27" spans="2:13" ht="12" customHeight="1" x14ac:dyDescent="0.2">
      <c r="B27" s="799" t="s">
        <v>3091</v>
      </c>
      <c r="C27" s="211" t="s">
        <v>1749</v>
      </c>
      <c r="D27" s="199" t="s">
        <v>3415</v>
      </c>
      <c r="E27" s="199" t="s">
        <v>1055</v>
      </c>
      <c r="F27" s="199" t="s">
        <v>3093</v>
      </c>
      <c r="G27" s="806"/>
      <c r="H27" s="806"/>
      <c r="I27" s="799" t="s">
        <v>3091</v>
      </c>
      <c r="J27" s="211" t="s">
        <v>3983</v>
      </c>
      <c r="K27" s="199" t="s">
        <v>3415</v>
      </c>
      <c r="L27" s="199" t="s">
        <v>1055</v>
      </c>
      <c r="M27" s="199" t="s">
        <v>3093</v>
      </c>
    </row>
    <row r="28" spans="2:13" ht="12" customHeight="1" x14ac:dyDescent="0.2">
      <c r="B28" s="801" t="s">
        <v>3090</v>
      </c>
      <c r="C28" s="212" t="s">
        <v>1053</v>
      </c>
      <c r="D28" s="201" t="s">
        <v>3416</v>
      </c>
      <c r="E28" s="201" t="s">
        <v>3416</v>
      </c>
      <c r="F28" s="201" t="s">
        <v>1302</v>
      </c>
      <c r="G28" s="806"/>
      <c r="H28" s="806"/>
      <c r="I28" s="801" t="s">
        <v>3090</v>
      </c>
      <c r="J28" s="212" t="s">
        <v>1053</v>
      </c>
      <c r="K28" s="201" t="s">
        <v>3416</v>
      </c>
      <c r="L28" s="201" t="s">
        <v>3416</v>
      </c>
      <c r="M28" s="201" t="s">
        <v>1302</v>
      </c>
    </row>
    <row r="29" spans="2:13" ht="12" customHeight="1" x14ac:dyDescent="0.2">
      <c r="B29" s="511"/>
      <c r="C29" s="215" t="s">
        <v>1751</v>
      </c>
      <c r="D29" s="511"/>
      <c r="E29" s="511"/>
      <c r="F29" s="186" t="s">
        <v>1053</v>
      </c>
      <c r="G29" s="806"/>
      <c r="H29" s="806"/>
      <c r="I29" s="511"/>
      <c r="J29" s="215" t="s">
        <v>1751</v>
      </c>
      <c r="K29" s="511"/>
      <c r="L29" s="511"/>
      <c r="M29" s="186" t="s">
        <v>1053</v>
      </c>
    </row>
    <row r="30" spans="2:13" ht="12" customHeight="1" x14ac:dyDescent="0.2">
      <c r="B30" s="800" t="s">
        <v>2578</v>
      </c>
      <c r="C30" s="472">
        <f>'RAP-1'!O12</f>
        <v>0</v>
      </c>
      <c r="D30" s="573">
        <f>M10</f>
        <v>0</v>
      </c>
      <c r="E30" s="2121">
        <f>M9</f>
        <v>0</v>
      </c>
      <c r="F30" s="2121" t="e">
        <f>(C30*D30+C31*D31)/E30</f>
        <v>#DIV/0!</v>
      </c>
      <c r="G30" s="806"/>
      <c r="H30" s="806"/>
      <c r="I30" s="800" t="s">
        <v>2578</v>
      </c>
      <c r="J30" s="472">
        <f>'RAP-1'!O51</f>
        <v>0</v>
      </c>
      <c r="K30" s="573">
        <f>M10</f>
        <v>0</v>
      </c>
      <c r="L30" s="2121">
        <f>M9</f>
        <v>0</v>
      </c>
      <c r="M30" s="2121" t="e">
        <f>IF(((J30*K30+J31*K31)/L30)&gt;0,(J30*K30+J31*K31)/L30,0)</f>
        <v>#DIV/0!</v>
      </c>
    </row>
    <row r="31" spans="2:13" ht="12" customHeight="1" x14ac:dyDescent="0.2">
      <c r="B31" s="805" t="s">
        <v>2579</v>
      </c>
      <c r="C31" s="472">
        <f>'RAP-2'!O12</f>
        <v>0</v>
      </c>
      <c r="D31" s="809">
        <f>M11</f>
        <v>0</v>
      </c>
      <c r="E31" s="2122"/>
      <c r="F31" s="2122"/>
      <c r="G31" s="806"/>
      <c r="H31" s="806"/>
      <c r="I31" s="805" t="s">
        <v>2579</v>
      </c>
      <c r="J31" s="810">
        <v>0</v>
      </c>
      <c r="K31" s="809">
        <f>M11</f>
        <v>0</v>
      </c>
      <c r="L31" s="2122"/>
      <c r="M31" s="2168"/>
    </row>
    <row r="32" spans="2:13" ht="12" customHeight="1" x14ac:dyDescent="0.2">
      <c r="B32" s="216" t="s">
        <v>3092</v>
      </c>
      <c r="C32" s="218"/>
      <c r="D32" s="218"/>
      <c r="E32" s="218"/>
      <c r="F32" s="218"/>
      <c r="G32" s="218"/>
      <c r="H32" s="218"/>
      <c r="I32" s="218"/>
      <c r="J32" s="218"/>
      <c r="K32" s="218"/>
      <c r="L32" s="218"/>
      <c r="M32" s="219"/>
    </row>
    <row r="33" spans="2:13" ht="12" customHeight="1" x14ac:dyDescent="0.2">
      <c r="B33" s="807" t="s">
        <v>3</v>
      </c>
      <c r="C33" s="180"/>
      <c r="D33" s="180"/>
      <c r="E33" s="180"/>
      <c r="F33" s="180"/>
      <c r="G33" s="180"/>
      <c r="H33" s="180"/>
      <c r="I33" s="180"/>
      <c r="J33" s="180"/>
      <c r="K33" s="180"/>
      <c r="L33" s="180"/>
      <c r="M33" s="181"/>
    </row>
    <row r="34" spans="2:13" ht="12" customHeight="1" x14ac:dyDescent="0.2">
      <c r="B34" s="220" t="s">
        <v>1103</v>
      </c>
      <c r="C34" s="221"/>
      <c r="D34" s="221"/>
      <c r="E34" s="221"/>
      <c r="F34" s="221"/>
      <c r="G34" s="221"/>
      <c r="H34" s="221"/>
      <c r="I34" s="221"/>
      <c r="J34" s="221"/>
      <c r="K34" s="221"/>
      <c r="L34" s="221"/>
      <c r="M34" s="222"/>
    </row>
    <row r="35" spans="2:13" ht="12" customHeight="1" x14ac:dyDescent="0.2">
      <c r="B35" s="180"/>
      <c r="C35" s="180"/>
      <c r="D35" s="180"/>
      <c r="E35" s="180"/>
      <c r="F35" s="180"/>
      <c r="G35" s="180"/>
      <c r="H35" s="180"/>
      <c r="I35" s="180"/>
      <c r="J35" s="180"/>
      <c r="K35" s="180"/>
      <c r="L35" s="180"/>
      <c r="M35" s="180"/>
    </row>
    <row r="36" spans="2:13" ht="12" customHeight="1" x14ac:dyDescent="0.2">
      <c r="B36" s="180"/>
      <c r="C36" s="180"/>
      <c r="D36" s="180"/>
      <c r="E36" s="180"/>
      <c r="F36" s="180"/>
      <c r="G36" s="180"/>
      <c r="H36" s="180"/>
      <c r="I36" s="180"/>
      <c r="J36" s="180"/>
      <c r="K36" s="180"/>
      <c r="L36" s="180"/>
      <c r="M36" s="180"/>
    </row>
    <row r="37" spans="2:13" ht="12" customHeight="1" x14ac:dyDescent="0.2">
      <c r="B37" s="874" t="s">
        <v>3984</v>
      </c>
      <c r="C37" s="75"/>
      <c r="D37" s="75"/>
      <c r="E37" s="75"/>
      <c r="F37" s="75"/>
      <c r="G37" s="876" t="s">
        <v>3983</v>
      </c>
      <c r="L37" s="180"/>
      <c r="M37" s="180"/>
    </row>
    <row r="38" spans="2:13" ht="12" customHeight="1" x14ac:dyDescent="0.2">
      <c r="B38" s="881" t="e">
        <f>F19</f>
        <v>#DIV/0!</v>
      </c>
      <c r="C38" s="849" t="s">
        <v>3726</v>
      </c>
      <c r="E38" s="180"/>
      <c r="F38" s="180"/>
      <c r="G38" s="881" t="e">
        <f>M19</f>
        <v>#DIV/0!</v>
      </c>
      <c r="H38" s="849" t="s">
        <v>3726</v>
      </c>
      <c r="L38" s="180"/>
      <c r="M38" s="180"/>
    </row>
    <row r="39" spans="2:13" ht="12" customHeight="1" x14ac:dyDescent="0.2">
      <c r="B39" s="782" t="e">
        <f>F30</f>
        <v>#DIV/0!</v>
      </c>
      <c r="C39" s="849" t="s">
        <v>465</v>
      </c>
      <c r="E39" s="850"/>
      <c r="F39" s="180"/>
      <c r="G39" s="782" t="e">
        <f>M30</f>
        <v>#DIV/0!</v>
      </c>
      <c r="H39" s="849" t="s">
        <v>465</v>
      </c>
      <c r="L39" s="180"/>
      <c r="M39" s="180"/>
    </row>
  </sheetData>
  <mergeCells count="12">
    <mergeCell ref="B25:M25"/>
    <mergeCell ref="E30:E31"/>
    <mergeCell ref="F30:F31"/>
    <mergeCell ref="L30:L31"/>
    <mergeCell ref="M30:M31"/>
    <mergeCell ref="B2:M2"/>
    <mergeCell ref="B3:M3"/>
    <mergeCell ref="E19:E20"/>
    <mergeCell ref="F19:F20"/>
    <mergeCell ref="M19:M20"/>
    <mergeCell ref="L19:L20"/>
    <mergeCell ref="B14:M14"/>
  </mergeCells>
  <phoneticPr fontId="27" type="noConversion"/>
  <pageMargins left="0.75" right="0.75" top="1" bottom="1" header="0.5" footer="0.5"/>
  <pageSetup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0"/>
  <dimension ref="B2:M47"/>
  <sheetViews>
    <sheetView workbookViewId="0">
      <selection activeCell="F9" sqref="F9:F12"/>
    </sheetView>
  </sheetViews>
  <sheetFormatPr defaultColWidth="8.7109375" defaultRowHeight="12" customHeight="1" x14ac:dyDescent="0.2"/>
  <cols>
    <col min="1" max="1" width="3.7109375" style="174" customWidth="1"/>
    <col min="2" max="2" width="10.7109375" style="174" customWidth="1"/>
    <col min="3" max="3" width="53.7109375" style="224" customWidth="1"/>
    <col min="4" max="6" width="10.7109375" style="185" customWidth="1"/>
    <col min="7" max="16384" width="8.7109375" style="174"/>
  </cols>
  <sheetData>
    <row r="2" spans="2:13" ht="12" customHeight="1" x14ac:dyDescent="0.2">
      <c r="B2" s="610" t="s">
        <v>1753</v>
      </c>
      <c r="C2" s="480"/>
      <c r="D2" s="480" t="s">
        <v>360</v>
      </c>
      <c r="E2" s="922" t="s">
        <v>3985</v>
      </c>
      <c r="F2" s="923" t="s">
        <v>1079</v>
      </c>
    </row>
    <row r="3" spans="2:13" ht="12" customHeight="1" x14ac:dyDescent="0.2">
      <c r="B3" s="471" t="s">
        <v>1754</v>
      </c>
      <c r="C3" s="228"/>
      <c r="D3" s="228" t="str">
        <f>'Wrk A'!H5</f>
        <v>Block</v>
      </c>
      <c r="E3" s="924" t="str">
        <f>'Wrk A'!C15</f>
        <v>Jul &amp; Aug</v>
      </c>
      <c r="F3" s="952">
        <f>'Wrk A'!K16</f>
        <v>0.5</v>
      </c>
    </row>
    <row r="4" spans="2:13" ht="12" customHeight="1" x14ac:dyDescent="0.2">
      <c r="B4" s="220"/>
      <c r="C4" s="221"/>
      <c r="D4" s="221"/>
      <c r="E4" s="221"/>
      <c r="F4" s="222"/>
    </row>
    <row r="5" spans="2:13" ht="8.1" customHeight="1" x14ac:dyDescent="0.2">
      <c r="B5" s="473"/>
      <c r="C5" s="520"/>
      <c r="D5" s="517"/>
      <c r="E5" s="518"/>
      <c r="F5" s="526"/>
      <c r="H5" s="505"/>
      <c r="I5" s="505"/>
      <c r="J5" s="505"/>
      <c r="K5" s="505"/>
      <c r="L5" s="505"/>
      <c r="M5" s="505"/>
    </row>
    <row r="6" spans="2:13" ht="12" customHeight="1" x14ac:dyDescent="0.2">
      <c r="B6" s="216" t="s">
        <v>1755</v>
      </c>
      <c r="C6" s="521"/>
      <c r="D6" s="2176" t="s">
        <v>313</v>
      </c>
      <c r="E6" s="2176"/>
      <c r="F6" s="199" t="s">
        <v>314</v>
      </c>
    </row>
    <row r="7" spans="2:13" ht="12" customHeight="1" x14ac:dyDescent="0.2">
      <c r="B7" s="220"/>
      <c r="C7" s="522"/>
      <c r="D7" s="513" t="s">
        <v>3983</v>
      </c>
      <c r="E7" s="513" t="s">
        <v>3984</v>
      </c>
      <c r="F7" s="186" t="s">
        <v>3930</v>
      </c>
    </row>
    <row r="8" spans="2:13" ht="8.1" customHeight="1" x14ac:dyDescent="0.2">
      <c r="B8" s="179"/>
      <c r="C8" s="462"/>
      <c r="D8" s="228"/>
      <c r="E8" s="228"/>
      <c r="F8" s="181"/>
    </row>
    <row r="9" spans="2:13" ht="12" customHeight="1" x14ac:dyDescent="0.2">
      <c r="B9" s="510" t="s">
        <v>1756</v>
      </c>
      <c r="C9" s="523" t="s">
        <v>1758</v>
      </c>
      <c r="D9" s="2162">
        <f>'Wrk A'!D26</f>
        <v>30</v>
      </c>
      <c r="E9" s="532">
        <f>E12+20</f>
        <v>119.1</v>
      </c>
      <c r="F9" s="2162">
        <f>'Wrk A'!K25</f>
        <v>-32</v>
      </c>
      <c r="H9" s="185"/>
      <c r="I9" s="185"/>
      <c r="K9" s="185"/>
      <c r="L9" s="185"/>
    </row>
    <row r="10" spans="2:13" ht="12" customHeight="1" x14ac:dyDescent="0.2">
      <c r="B10" s="519" t="s">
        <v>1757</v>
      </c>
      <c r="C10" s="524" t="s">
        <v>1759</v>
      </c>
      <c r="D10" s="2163"/>
      <c r="E10" s="532">
        <f>E12+35</f>
        <v>134.1</v>
      </c>
      <c r="F10" s="2163"/>
      <c r="H10" s="790"/>
      <c r="I10" s="791"/>
      <c r="K10" s="790"/>
      <c r="L10" s="791"/>
    </row>
    <row r="11" spans="2:13" ht="12" customHeight="1" x14ac:dyDescent="0.2">
      <c r="B11" s="519"/>
      <c r="C11" s="524" t="s">
        <v>1760</v>
      </c>
      <c r="D11" s="2163"/>
      <c r="E11" s="532">
        <f>E12+65</f>
        <v>164.1</v>
      </c>
      <c r="F11" s="2163"/>
    </row>
    <row r="12" spans="2:13" ht="12" customHeight="1" x14ac:dyDescent="0.2">
      <c r="B12" s="511"/>
      <c r="C12" s="525" t="s">
        <v>1761</v>
      </c>
      <c r="D12" s="2169"/>
      <c r="E12" s="532">
        <f>'Wrk A'!J$25</f>
        <v>99.1</v>
      </c>
      <c r="F12" s="2169"/>
    </row>
    <row r="13" spans="2:13" ht="8.1" customHeight="1" x14ac:dyDescent="0.2">
      <c r="B13" s="179"/>
      <c r="C13" s="462"/>
      <c r="D13" s="533"/>
      <c r="E13" s="533"/>
      <c r="F13" s="534"/>
    </row>
    <row r="14" spans="2:13" ht="12" customHeight="1" x14ac:dyDescent="0.2">
      <c r="B14" s="2177" t="s">
        <v>315</v>
      </c>
      <c r="C14" s="523" t="s">
        <v>316</v>
      </c>
      <c r="D14" s="532">
        <f>D9+15</f>
        <v>45</v>
      </c>
      <c r="E14" s="532">
        <f>E$12+55</f>
        <v>154.1</v>
      </c>
      <c r="F14" s="2162">
        <f>F9</f>
        <v>-32</v>
      </c>
    </row>
    <row r="15" spans="2:13" ht="12" customHeight="1" x14ac:dyDescent="0.2">
      <c r="B15" s="2178"/>
      <c r="C15" s="524" t="s">
        <v>1107</v>
      </c>
      <c r="D15" s="2180">
        <f>D9+10</f>
        <v>40</v>
      </c>
      <c r="E15" s="532">
        <f>E$12+35</f>
        <v>134.1</v>
      </c>
      <c r="F15" s="2163"/>
    </row>
    <row r="16" spans="2:13" ht="12" customHeight="1" x14ac:dyDescent="0.2">
      <c r="B16" s="2178"/>
      <c r="C16" s="524" t="s">
        <v>1108</v>
      </c>
      <c r="D16" s="2180"/>
      <c r="E16" s="532">
        <f>E$12+25</f>
        <v>124.1</v>
      </c>
      <c r="F16" s="2163"/>
    </row>
    <row r="17" spans="2:8" ht="12" customHeight="1" x14ac:dyDescent="0.2">
      <c r="B17" s="2178"/>
      <c r="C17" s="524" t="s">
        <v>1109</v>
      </c>
      <c r="D17" s="2180"/>
      <c r="E17" s="532">
        <f>E$12+15</f>
        <v>114.1</v>
      </c>
      <c r="F17" s="2163"/>
    </row>
    <row r="18" spans="2:8" ht="12" customHeight="1" x14ac:dyDescent="0.2">
      <c r="B18" s="2178"/>
      <c r="C18" s="524" t="s">
        <v>2296</v>
      </c>
      <c r="D18" s="2180"/>
      <c r="E18" s="532">
        <f>E$12+10</f>
        <v>109.1</v>
      </c>
      <c r="F18" s="2181"/>
    </row>
    <row r="19" spans="2:8" ht="12" customHeight="1" x14ac:dyDescent="0.2">
      <c r="B19" s="2179"/>
      <c r="C19" s="525" t="s">
        <v>2297</v>
      </c>
      <c r="D19" s="2180"/>
      <c r="E19" s="532">
        <f>E$12</f>
        <v>99.1</v>
      </c>
      <c r="F19" s="2182"/>
    </row>
    <row r="20" spans="2:8" ht="8.1" customHeight="1" x14ac:dyDescent="0.2">
      <c r="B20" s="216"/>
      <c r="C20" s="528"/>
      <c r="D20" s="535"/>
      <c r="E20" s="535"/>
      <c r="F20" s="536"/>
    </row>
    <row r="21" spans="2:8" ht="12" customHeight="1" x14ac:dyDescent="0.2">
      <c r="B21" s="512" t="s">
        <v>2298</v>
      </c>
      <c r="C21" s="527" t="s">
        <v>2299</v>
      </c>
      <c r="D21" s="2171" t="s">
        <v>2300</v>
      </c>
      <c r="E21" s="2172"/>
      <c r="F21" s="2172"/>
    </row>
    <row r="22" spans="2:8" ht="8.1" customHeight="1" x14ac:dyDescent="0.2">
      <c r="B22" s="179"/>
      <c r="C22" s="462"/>
      <c r="D22" s="533"/>
      <c r="E22" s="533"/>
      <c r="F22" s="534"/>
    </row>
    <row r="23" spans="2:8" ht="12" customHeight="1" x14ac:dyDescent="0.2">
      <c r="B23" s="510" t="s">
        <v>2301</v>
      </c>
      <c r="C23" s="523" t="s">
        <v>2580</v>
      </c>
      <c r="D23" s="888">
        <f>'DAC-1'!M54</f>
        <v>0</v>
      </c>
      <c r="E23" s="532">
        <f>'DAC-1'!L34</f>
        <v>83</v>
      </c>
      <c r="F23" s="532" t="s">
        <v>2303</v>
      </c>
      <c r="G23" s="185" t="s">
        <v>2837</v>
      </c>
      <c r="H23" s="538">
        <f>'DAC-1'!M34</f>
        <v>-16</v>
      </c>
    </row>
    <row r="24" spans="2:8" ht="12" customHeight="1" x14ac:dyDescent="0.2">
      <c r="B24" s="519" t="s">
        <v>2302</v>
      </c>
      <c r="C24" s="524" t="s">
        <v>2581</v>
      </c>
      <c r="D24" s="888" t="s">
        <v>1714</v>
      </c>
      <c r="E24" s="532">
        <f>'DAC-2'!I31</f>
        <v>0</v>
      </c>
      <c r="F24" s="532">
        <v>0</v>
      </c>
    </row>
    <row r="25" spans="2:8" ht="12" customHeight="1" x14ac:dyDescent="0.2">
      <c r="B25" s="511"/>
      <c r="C25" s="525" t="s">
        <v>1447</v>
      </c>
      <c r="D25" s="513" t="e">
        <f>'DAC-3'!M19</f>
        <v>#DIV/0!</v>
      </c>
      <c r="E25" s="532" t="e">
        <f>'DAC-3'!F19</f>
        <v>#DIV/0!</v>
      </c>
      <c r="F25" s="532" t="e">
        <f>'DAC-3'!F30</f>
        <v>#DIV/0!</v>
      </c>
    </row>
    <row r="26" spans="2:8" ht="8.1" customHeight="1" x14ac:dyDescent="0.2">
      <c r="B26" s="179"/>
      <c r="C26" s="462"/>
      <c r="D26" s="533"/>
      <c r="E26" s="533"/>
      <c r="F26" s="534"/>
    </row>
    <row r="27" spans="2:8" ht="12" customHeight="1" x14ac:dyDescent="0.2">
      <c r="B27" s="510" t="s">
        <v>2304</v>
      </c>
      <c r="C27" s="523" t="s">
        <v>899</v>
      </c>
      <c r="D27" s="513">
        <f>'RAP-1'!K61</f>
        <v>0</v>
      </c>
      <c r="E27" s="532">
        <f>'RAP-1'!K38</f>
        <v>0</v>
      </c>
      <c r="F27" s="532">
        <v>0</v>
      </c>
    </row>
    <row r="28" spans="2:8" ht="12" customHeight="1" x14ac:dyDescent="0.2">
      <c r="B28" s="519" t="s">
        <v>2302</v>
      </c>
      <c r="C28" s="524" t="s">
        <v>900</v>
      </c>
      <c r="D28" s="513" t="s">
        <v>901</v>
      </c>
      <c r="E28" s="532">
        <f>'RAP-2'!I35</f>
        <v>0</v>
      </c>
      <c r="F28" s="532">
        <v>0</v>
      </c>
    </row>
    <row r="29" spans="2:8" ht="12" customHeight="1" x14ac:dyDescent="0.2">
      <c r="B29" s="511"/>
      <c r="C29" s="525" t="s">
        <v>1448</v>
      </c>
      <c r="D29" s="532" t="e">
        <f>'RAP-3'!M19</f>
        <v>#DIV/0!</v>
      </c>
      <c r="E29" s="532" t="e">
        <f>'RAP-3'!F19</f>
        <v>#DIV/0!</v>
      </c>
      <c r="F29" s="532">
        <v>0</v>
      </c>
    </row>
    <row r="30" spans="2:8" ht="8.1" customHeight="1" x14ac:dyDescent="0.2">
      <c r="B30" s="179"/>
      <c r="C30" s="462"/>
      <c r="D30" s="533"/>
      <c r="E30" s="533"/>
      <c r="F30" s="534"/>
    </row>
    <row r="31" spans="2:8" ht="12" customHeight="1" x14ac:dyDescent="0.2">
      <c r="B31" s="2170" t="s">
        <v>308</v>
      </c>
      <c r="C31" s="2174" t="s">
        <v>309</v>
      </c>
      <c r="D31" s="2162">
        <f>D9</f>
        <v>30</v>
      </c>
      <c r="E31" s="2162">
        <f>E12</f>
        <v>99.1</v>
      </c>
      <c r="F31" s="2162">
        <f>F9</f>
        <v>-32</v>
      </c>
    </row>
    <row r="32" spans="2:8" ht="12" customHeight="1" x14ac:dyDescent="0.2">
      <c r="B32" s="2173"/>
      <c r="C32" s="2175"/>
      <c r="D32" s="2169"/>
      <c r="E32" s="2169"/>
      <c r="F32" s="2169"/>
    </row>
    <row r="33" spans="2:6" ht="8.1" customHeight="1" x14ac:dyDescent="0.2">
      <c r="B33" s="179"/>
      <c r="C33" s="462"/>
      <c r="D33" s="533"/>
      <c r="E33" s="533"/>
      <c r="F33" s="534"/>
    </row>
    <row r="34" spans="2:6" ht="12" customHeight="1" x14ac:dyDescent="0.2">
      <c r="B34" s="2170" t="s">
        <v>310</v>
      </c>
      <c r="C34" s="523" t="s">
        <v>3740</v>
      </c>
      <c r="D34" s="532">
        <f>(3*D9+70)/4</f>
        <v>40</v>
      </c>
      <c r="E34" s="532">
        <f>(3*E12+75)/4</f>
        <v>93.074999999999989</v>
      </c>
      <c r="F34" s="2162">
        <f>F9</f>
        <v>-32</v>
      </c>
    </row>
    <row r="35" spans="2:6" ht="12" customHeight="1" x14ac:dyDescent="0.2">
      <c r="B35" s="1602"/>
      <c r="C35" s="525" t="s">
        <v>2455</v>
      </c>
      <c r="D35" s="532">
        <f>50+0.3*D9</f>
        <v>59</v>
      </c>
      <c r="E35" s="532">
        <v>75</v>
      </c>
      <c r="F35" s="2169"/>
    </row>
    <row r="36" spans="2:6" ht="8.1" customHeight="1" x14ac:dyDescent="0.2">
      <c r="B36" s="179"/>
      <c r="C36" s="462"/>
      <c r="D36" s="533"/>
      <c r="E36" s="533"/>
      <c r="F36" s="534"/>
    </row>
    <row r="37" spans="2:6" ht="12" customHeight="1" x14ac:dyDescent="0.2">
      <c r="B37" s="269" t="s">
        <v>2456</v>
      </c>
      <c r="C37" s="537" t="s">
        <v>2455</v>
      </c>
      <c r="D37" s="532">
        <f>50+0.3*D9</f>
        <v>59</v>
      </c>
      <c r="E37" s="532">
        <v>75</v>
      </c>
      <c r="F37" s="532">
        <f>F9</f>
        <v>-32</v>
      </c>
    </row>
    <row r="38" spans="2:6" ht="8.1" customHeight="1" x14ac:dyDescent="0.2">
      <c r="B38" s="179"/>
      <c r="C38" s="462"/>
      <c r="D38" s="533"/>
      <c r="E38" s="533"/>
      <c r="F38" s="534"/>
    </row>
    <row r="39" spans="2:6" ht="12" customHeight="1" x14ac:dyDescent="0.2">
      <c r="B39" s="269" t="s">
        <v>2457</v>
      </c>
      <c r="C39" s="537" t="s">
        <v>2458</v>
      </c>
      <c r="D39" s="532">
        <f>D9+70 / 2</f>
        <v>65</v>
      </c>
      <c r="E39" s="532">
        <v>75</v>
      </c>
      <c r="F39" s="532">
        <v>0</v>
      </c>
    </row>
    <row r="40" spans="2:6" ht="8.1" customHeight="1" x14ac:dyDescent="0.2">
      <c r="B40" s="179"/>
      <c r="C40" s="462"/>
      <c r="D40" s="533"/>
      <c r="E40" s="533"/>
      <c r="F40" s="534"/>
    </row>
    <row r="41" spans="2:6" ht="12" customHeight="1" x14ac:dyDescent="0.2">
      <c r="B41" s="269" t="s">
        <v>2459</v>
      </c>
      <c r="C41" s="537" t="s">
        <v>2460</v>
      </c>
      <c r="D41" s="532">
        <f>D9+70 / 2</f>
        <v>65</v>
      </c>
      <c r="E41" s="532">
        <f>E12+75 / 2</f>
        <v>136.6</v>
      </c>
      <c r="F41" s="532">
        <f>F9</f>
        <v>-32</v>
      </c>
    </row>
    <row r="42" spans="2:6" ht="8.1" customHeight="1" x14ac:dyDescent="0.2">
      <c r="B42" s="179"/>
      <c r="C42" s="462"/>
      <c r="D42" s="228"/>
      <c r="E42" s="228"/>
      <c r="F42" s="213"/>
    </row>
    <row r="43" spans="2:6" ht="12" customHeight="1" x14ac:dyDescent="0.2">
      <c r="B43" s="529" t="s">
        <v>1102</v>
      </c>
      <c r="C43" s="528"/>
      <c r="D43" s="480"/>
      <c r="E43" s="480"/>
      <c r="F43" s="283"/>
    </row>
    <row r="44" spans="2:6" ht="12" customHeight="1" x14ac:dyDescent="0.2">
      <c r="B44" s="530" t="s">
        <v>1101</v>
      </c>
      <c r="C44" s="462"/>
      <c r="D44" s="228"/>
      <c r="E44" s="228"/>
      <c r="F44" s="213"/>
    </row>
    <row r="45" spans="2:6" ht="12" customHeight="1" x14ac:dyDescent="0.2">
      <c r="B45" s="530" t="s">
        <v>312</v>
      </c>
      <c r="C45" s="462"/>
      <c r="D45" s="228"/>
      <c r="E45" s="228"/>
      <c r="F45" s="213"/>
    </row>
    <row r="46" spans="2:6" ht="12" customHeight="1" x14ac:dyDescent="0.2">
      <c r="B46" s="530" t="s">
        <v>311</v>
      </c>
      <c r="C46" s="462"/>
      <c r="D46" s="228"/>
      <c r="E46" s="228"/>
      <c r="F46" s="213"/>
    </row>
    <row r="47" spans="2:6" ht="12" customHeight="1" x14ac:dyDescent="0.2">
      <c r="B47" s="531" t="s">
        <v>2836</v>
      </c>
      <c r="C47" s="466"/>
      <c r="D47" s="479"/>
      <c r="E47" s="479"/>
      <c r="F47" s="178"/>
    </row>
  </sheetData>
  <mergeCells count="14">
    <mergeCell ref="D6:E6"/>
    <mergeCell ref="D9:D12"/>
    <mergeCell ref="F9:F12"/>
    <mergeCell ref="B14:B19"/>
    <mergeCell ref="D15:D19"/>
    <mergeCell ref="F14:F19"/>
    <mergeCell ref="F34:F35"/>
    <mergeCell ref="B34:B35"/>
    <mergeCell ref="E31:E32"/>
    <mergeCell ref="F31:F32"/>
    <mergeCell ref="D21:F21"/>
    <mergeCell ref="B31:B32"/>
    <mergeCell ref="C31:C32"/>
    <mergeCell ref="D31:D32"/>
  </mergeCells>
  <phoneticPr fontId="27" type="noConversion"/>
  <pageMargins left="0.75" right="0.75" top="1" bottom="1" header="0.5" footer="0.5"/>
  <pageSetup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2">
    <pageSetUpPr fitToPage="1"/>
  </sheetPr>
  <dimension ref="B2:U49"/>
  <sheetViews>
    <sheetView topLeftCell="B7" workbookViewId="0">
      <selection activeCell="M27" sqref="M27"/>
    </sheetView>
  </sheetViews>
  <sheetFormatPr defaultColWidth="8.7109375" defaultRowHeight="12" customHeight="1" x14ac:dyDescent="0.2"/>
  <cols>
    <col min="1" max="1" width="3.5703125" style="174" customWidth="1"/>
    <col min="2" max="13" width="8.7109375" style="174" customWidth="1"/>
    <col min="14" max="14" width="3.7109375" style="176" customWidth="1"/>
    <col min="15" max="15" width="3.7109375" style="174" customWidth="1"/>
    <col min="16" max="16384" width="8.7109375" style="174"/>
  </cols>
  <sheetData>
    <row r="2" spans="2:21" ht="12" customHeight="1" x14ac:dyDescent="0.2">
      <c r="B2" s="2116" t="s">
        <v>359</v>
      </c>
      <c r="C2" s="1960"/>
      <c r="D2" s="1960"/>
      <c r="E2" s="1960"/>
      <c r="F2" s="1960"/>
      <c r="G2" s="1960"/>
      <c r="H2" s="1960"/>
      <c r="I2" s="1960"/>
      <c r="J2" s="1960"/>
      <c r="K2" s="1960"/>
      <c r="L2" s="1960"/>
      <c r="M2" s="2117"/>
      <c r="O2" s="2116" t="s">
        <v>827</v>
      </c>
      <c r="P2" s="2188"/>
      <c r="Q2" s="2188"/>
      <c r="R2" s="2188"/>
      <c r="S2" s="2188"/>
      <c r="T2" s="2033"/>
      <c r="U2" s="2034"/>
    </row>
    <row r="3" spans="2:21" ht="12" customHeight="1" x14ac:dyDescent="0.2">
      <c r="B3" s="2118" t="s">
        <v>361</v>
      </c>
      <c r="C3" s="2119"/>
      <c r="D3" s="2119"/>
      <c r="E3" s="2119"/>
      <c r="F3" s="2119"/>
      <c r="G3" s="2119"/>
      <c r="H3" s="2119"/>
      <c r="I3" s="2119"/>
      <c r="J3" s="2119"/>
      <c r="K3" s="2119"/>
      <c r="L3" s="2119"/>
      <c r="M3" s="2120"/>
      <c r="O3" s="179"/>
      <c r="P3" s="180"/>
      <c r="Q3" s="180"/>
      <c r="R3" s="180"/>
      <c r="S3" s="180"/>
      <c r="T3" s="180"/>
      <c r="U3" s="181"/>
    </row>
    <row r="4" spans="2:21" ht="12" customHeight="1" x14ac:dyDescent="0.2">
      <c r="B4" s="220"/>
      <c r="C4" s="221"/>
      <c r="D4" s="221"/>
      <c r="E4" s="454" t="s">
        <v>476</v>
      </c>
      <c r="F4" s="687" t="str">
        <f>'Wrk A'!H5</f>
        <v>Block</v>
      </c>
      <c r="G4" s="925" t="s">
        <v>2111</v>
      </c>
      <c r="H4" s="926" t="str">
        <f>'Wrk A'!C15</f>
        <v>Jul &amp; Aug</v>
      </c>
      <c r="I4" s="925" t="s">
        <v>2112</v>
      </c>
      <c r="J4" s="953">
        <f>'Wrk A'!K16</f>
        <v>0.5</v>
      </c>
      <c r="K4" s="221"/>
      <c r="L4" s="221"/>
      <c r="M4" s="222"/>
      <c r="O4" s="220"/>
      <c r="P4" s="457" t="s">
        <v>2115</v>
      </c>
      <c r="Q4" s="687" t="str">
        <f>F4</f>
        <v>Block</v>
      </c>
      <c r="R4" s="456" t="s">
        <v>2111</v>
      </c>
      <c r="S4" s="688" t="str">
        <f>H4</f>
        <v>Jul &amp; Aug</v>
      </c>
      <c r="T4" s="456" t="s">
        <v>2112</v>
      </c>
      <c r="U4" s="690">
        <f>J4</f>
        <v>0.5</v>
      </c>
    </row>
    <row r="5" spans="2:21" ht="8.1" customHeight="1" x14ac:dyDescent="0.2">
      <c r="B5" s="220"/>
      <c r="C5" s="221"/>
      <c r="D5" s="221"/>
      <c r="E5" s="454"/>
      <c r="F5" s="502"/>
      <c r="G5" s="456"/>
      <c r="H5" s="621"/>
      <c r="I5" s="456"/>
      <c r="J5" s="622"/>
      <c r="K5" s="221"/>
      <c r="L5" s="221"/>
      <c r="M5" s="222"/>
      <c r="O5" s="269"/>
      <c r="P5" s="270"/>
      <c r="Q5" s="270"/>
      <c r="R5" s="270"/>
      <c r="S5" s="270"/>
      <c r="T5" s="270"/>
      <c r="U5" s="271"/>
    </row>
    <row r="6" spans="2:21" ht="12" customHeight="1" x14ac:dyDescent="0.2">
      <c r="B6" s="623" t="s">
        <v>366</v>
      </c>
      <c r="C6" s="480"/>
      <c r="D6" s="480"/>
      <c r="E6" s="480"/>
      <c r="F6" s="480"/>
      <c r="G6" s="480"/>
      <c r="H6" s="480"/>
      <c r="I6" s="480"/>
      <c r="J6" s="480"/>
      <c r="K6" s="480"/>
      <c r="L6" s="480"/>
      <c r="M6" s="283"/>
      <c r="O6" s="179" t="s">
        <v>918</v>
      </c>
      <c r="P6" s="180"/>
      <c r="Q6" s="180"/>
      <c r="R6" s="180"/>
      <c r="S6" s="186" t="s">
        <v>861</v>
      </c>
      <c r="T6" s="513" t="s">
        <v>919</v>
      </c>
      <c r="U6" s="513" t="s">
        <v>2650</v>
      </c>
    </row>
    <row r="7" spans="2:21" ht="12" customHeight="1" x14ac:dyDescent="0.2">
      <c r="B7" s="557" t="s">
        <v>2842</v>
      </c>
      <c r="C7" s="228"/>
      <c r="D7" s="228"/>
      <c r="E7" s="228"/>
      <c r="F7" s="228"/>
      <c r="G7" s="467"/>
      <c r="H7" s="796" t="s">
        <v>368</v>
      </c>
      <c r="K7" s="198" t="s">
        <v>3417</v>
      </c>
      <c r="L7" s="635">
        <f>'Wrk E'!R25</f>
        <v>0</v>
      </c>
      <c r="M7" s="213"/>
      <c r="O7" s="362" t="s">
        <v>481</v>
      </c>
      <c r="P7" s="634">
        <f>'Wrk E'!C21</f>
        <v>0</v>
      </c>
      <c r="Q7" s="374"/>
      <c r="R7" s="374"/>
      <c r="S7" s="339">
        <f>'Wrk E'!R21</f>
        <v>0</v>
      </c>
      <c r="T7" s="469"/>
      <c r="U7" s="635">
        <f>S7*T7</f>
        <v>0</v>
      </c>
    </row>
    <row r="8" spans="2:21" ht="12" customHeight="1" x14ac:dyDescent="0.2">
      <c r="B8" s="557"/>
      <c r="C8" s="228"/>
      <c r="D8" s="228"/>
      <c r="E8" s="228"/>
      <c r="F8" s="282" t="s">
        <v>3683</v>
      </c>
      <c r="G8" s="632">
        <f>MIN('Wrk F'!F14:F15)</f>
        <v>0</v>
      </c>
      <c r="H8" s="228"/>
      <c r="I8" s="778" t="s">
        <v>2843</v>
      </c>
      <c r="J8" s="228"/>
      <c r="K8" s="228"/>
      <c r="L8" s="469">
        <v>460</v>
      </c>
      <c r="M8" s="213"/>
      <c r="O8" s="362" t="s">
        <v>482</v>
      </c>
      <c r="P8" s="634">
        <f>'Wrk E'!C22</f>
        <v>0</v>
      </c>
      <c r="Q8" s="374"/>
      <c r="R8" s="374"/>
      <c r="S8" s="339">
        <f>'Wrk E'!R22</f>
        <v>0</v>
      </c>
      <c r="T8" s="469"/>
      <c r="U8" s="635">
        <f>S8*T8</f>
        <v>0</v>
      </c>
    </row>
    <row r="9" spans="2:21" ht="12" customHeight="1" x14ac:dyDescent="0.2">
      <c r="B9" s="557"/>
      <c r="C9" s="228"/>
      <c r="D9" s="228"/>
      <c r="E9" s="228"/>
      <c r="F9" s="228"/>
      <c r="G9" s="228"/>
      <c r="H9" s="228"/>
      <c r="I9" s="228"/>
      <c r="J9" s="228"/>
      <c r="K9" s="228"/>
      <c r="L9" s="228"/>
      <c r="M9" s="213"/>
      <c r="O9" s="362" t="s">
        <v>483</v>
      </c>
      <c r="P9" s="634">
        <f>'Wrk E'!C23</f>
        <v>0</v>
      </c>
      <c r="Q9" s="374"/>
      <c r="R9" s="374"/>
      <c r="S9" s="339">
        <f>'Wrk E'!R23</f>
        <v>0</v>
      </c>
      <c r="T9" s="469"/>
      <c r="U9" s="635">
        <f>S9*T9</f>
        <v>0</v>
      </c>
    </row>
    <row r="10" spans="2:21" ht="12" customHeight="1" x14ac:dyDescent="0.2">
      <c r="B10" s="471" t="s">
        <v>367</v>
      </c>
      <c r="C10" s="228"/>
      <c r="D10" s="228"/>
      <c r="E10" s="228"/>
      <c r="F10" s="228"/>
      <c r="G10" s="228"/>
      <c r="H10" s="228"/>
      <c r="I10" s="228"/>
      <c r="J10" s="228"/>
      <c r="K10" s="228"/>
      <c r="L10" s="228"/>
      <c r="M10" s="213"/>
      <c r="O10" s="362" t="s">
        <v>484</v>
      </c>
      <c r="P10" s="634">
        <f>'Wrk E'!C24</f>
        <v>0</v>
      </c>
      <c r="Q10" s="374"/>
      <c r="R10" s="374"/>
      <c r="S10" s="339">
        <f>'Wrk E'!R24</f>
        <v>0</v>
      </c>
      <c r="T10" s="469"/>
      <c r="U10" s="635">
        <f>S10*T10</f>
        <v>0</v>
      </c>
    </row>
    <row r="11" spans="2:21" ht="12" customHeight="1" x14ac:dyDescent="0.2">
      <c r="B11" s="557" t="s">
        <v>369</v>
      </c>
      <c r="C11" s="460"/>
      <c r="D11" s="460"/>
      <c r="E11" s="504">
        <f>VentilationI!G8</f>
        <v>0</v>
      </c>
      <c r="F11" s="460" t="s">
        <v>362</v>
      </c>
      <c r="G11" s="228"/>
      <c r="H11" s="228"/>
      <c r="I11" s="228"/>
      <c r="J11" s="228"/>
      <c r="K11" s="228"/>
      <c r="L11" s="228"/>
      <c r="M11" s="213"/>
      <c r="O11" s="269"/>
      <c r="P11" s="270"/>
      <c r="Q11" s="270"/>
      <c r="R11" s="271" t="s">
        <v>2461</v>
      </c>
      <c r="S11" s="513">
        <f>SUM(S7:S10)</f>
        <v>0</v>
      </c>
      <c r="T11" s="929"/>
      <c r="U11" s="930"/>
    </row>
    <row r="12" spans="2:21" ht="12" customHeight="1" x14ac:dyDescent="0.2">
      <c r="B12" s="557" t="s">
        <v>363</v>
      </c>
      <c r="C12" s="460"/>
      <c r="D12" s="460"/>
      <c r="E12" s="493">
        <v>460</v>
      </c>
      <c r="F12" s="460" t="s">
        <v>364</v>
      </c>
      <c r="G12" s="228"/>
      <c r="H12" s="228"/>
      <c r="I12" s="228"/>
      <c r="J12" s="228"/>
      <c r="K12" s="228"/>
      <c r="L12" s="228"/>
      <c r="M12" s="213"/>
      <c r="O12" s="269" t="s">
        <v>2616</v>
      </c>
      <c r="P12" s="270"/>
      <c r="Q12" s="270"/>
      <c r="R12" s="271"/>
      <c r="S12" s="780"/>
      <c r="T12" s="781" t="s">
        <v>920</v>
      </c>
      <c r="U12" s="782">
        <f>SUM(U7:U10)</f>
        <v>0</v>
      </c>
    </row>
    <row r="13" spans="2:21" ht="12" customHeight="1" x14ac:dyDescent="0.2">
      <c r="B13" s="557" t="s">
        <v>406</v>
      </c>
      <c r="E13" s="493"/>
      <c r="F13" s="460" t="s">
        <v>3467</v>
      </c>
      <c r="M13" s="181"/>
    </row>
    <row r="14" spans="2:21" ht="12" customHeight="1" x14ac:dyDescent="0.2">
      <c r="B14" s="557" t="s">
        <v>407</v>
      </c>
      <c r="E14" s="493"/>
      <c r="F14" s="460" t="s">
        <v>2336</v>
      </c>
      <c r="M14" s="181"/>
      <c r="O14" s="269" t="s">
        <v>2623</v>
      </c>
      <c r="P14" s="270"/>
      <c r="Q14" s="270"/>
      <c r="R14" s="271"/>
      <c r="S14" s="512" t="s">
        <v>921</v>
      </c>
      <c r="T14" s="512" t="s">
        <v>2646</v>
      </c>
      <c r="U14" s="513" t="s">
        <v>2650</v>
      </c>
    </row>
    <row r="15" spans="2:21" ht="12" customHeight="1" x14ac:dyDescent="0.2">
      <c r="B15" s="557" t="s">
        <v>408</v>
      </c>
      <c r="C15" s="460"/>
      <c r="D15" s="460"/>
      <c r="E15" s="493">
        <f>MAX(E11:E14)</f>
        <v>460</v>
      </c>
      <c r="F15" s="460" t="s">
        <v>2337</v>
      </c>
      <c r="G15" s="228"/>
      <c r="H15" s="228"/>
      <c r="I15" s="228"/>
      <c r="J15" s="228"/>
      <c r="K15" s="228"/>
      <c r="L15" s="228"/>
      <c r="M15" s="213"/>
      <c r="O15" s="269" t="s">
        <v>2643</v>
      </c>
      <c r="P15" s="270"/>
      <c r="Q15" s="270"/>
      <c r="R15" s="271"/>
      <c r="S15" s="635">
        <v>30</v>
      </c>
      <c r="T15" s="469"/>
      <c r="U15" s="635">
        <f>S15*T15</f>
        <v>0</v>
      </c>
    </row>
    <row r="16" spans="2:21" ht="12" customHeight="1" x14ac:dyDescent="0.2">
      <c r="B16" s="471"/>
      <c r="C16" s="460"/>
      <c r="D16" s="460"/>
      <c r="E16" s="460"/>
      <c r="F16" s="460"/>
      <c r="G16" s="228"/>
      <c r="H16" s="228"/>
      <c r="I16" s="228"/>
      <c r="J16" s="228"/>
      <c r="K16" s="228"/>
      <c r="L16" s="228"/>
      <c r="M16" s="213"/>
      <c r="O16" s="269" t="s">
        <v>2614</v>
      </c>
      <c r="P16" s="270"/>
      <c r="Q16" s="270"/>
      <c r="R16" s="271"/>
      <c r="S16" s="635">
        <v>30</v>
      </c>
      <c r="T16" s="469"/>
      <c r="U16" s="635">
        <f>S16*T16</f>
        <v>0</v>
      </c>
    </row>
    <row r="17" spans="2:21" ht="12" customHeight="1" x14ac:dyDescent="0.2">
      <c r="B17" s="471" t="s">
        <v>365</v>
      </c>
      <c r="C17" s="460"/>
      <c r="D17" s="460"/>
      <c r="E17" s="460"/>
      <c r="F17" s="460"/>
      <c r="G17" s="228"/>
      <c r="H17" s="228"/>
      <c r="I17" s="228"/>
      <c r="J17" s="228"/>
      <c r="K17" s="228"/>
      <c r="L17" s="228"/>
      <c r="M17" s="213"/>
      <c r="S17" s="780"/>
      <c r="T17" s="781" t="s">
        <v>2625</v>
      </c>
      <c r="U17" s="782">
        <f>U15+U16</f>
        <v>0</v>
      </c>
    </row>
    <row r="18" spans="2:21" ht="12" customHeight="1" x14ac:dyDescent="0.2">
      <c r="B18" s="626" t="s">
        <v>1176</v>
      </c>
      <c r="C18" s="183" t="s">
        <v>370</v>
      </c>
      <c r="D18" s="183" t="s">
        <v>372</v>
      </c>
      <c r="E18" s="2113" t="s">
        <v>4124</v>
      </c>
      <c r="F18" s="1314"/>
      <c r="G18" s="1315"/>
      <c r="H18" s="183" t="s">
        <v>610</v>
      </c>
      <c r="I18" s="183" t="s">
        <v>1080</v>
      </c>
      <c r="J18" s="183" t="s">
        <v>389</v>
      </c>
      <c r="K18" s="183" t="s">
        <v>611</v>
      </c>
      <c r="L18" s="183" t="s">
        <v>397</v>
      </c>
      <c r="M18" s="183" t="s">
        <v>398</v>
      </c>
    </row>
    <row r="19" spans="2:21" ht="12" customHeight="1" x14ac:dyDescent="0.2">
      <c r="B19" s="627" t="s">
        <v>1053</v>
      </c>
      <c r="C19" s="202" t="s">
        <v>1300</v>
      </c>
      <c r="D19" s="202" t="s">
        <v>373</v>
      </c>
      <c r="E19" s="2191" t="s">
        <v>377</v>
      </c>
      <c r="F19" s="2191"/>
      <c r="G19" s="202" t="s">
        <v>611</v>
      </c>
      <c r="H19" s="202" t="s">
        <v>383</v>
      </c>
      <c r="I19" s="202" t="s">
        <v>3368</v>
      </c>
      <c r="J19" s="202" t="s">
        <v>390</v>
      </c>
      <c r="K19" s="202" t="s">
        <v>3679</v>
      </c>
      <c r="L19" s="202" t="s">
        <v>3481</v>
      </c>
      <c r="M19" s="624" t="s">
        <v>944</v>
      </c>
      <c r="O19" s="269" t="s">
        <v>2624</v>
      </c>
      <c r="P19" s="270"/>
      <c r="Q19" s="270"/>
      <c r="R19" s="271"/>
      <c r="S19" s="512" t="s">
        <v>2645</v>
      </c>
      <c r="T19" s="513" t="s">
        <v>2967</v>
      </c>
      <c r="U19" s="513" t="s">
        <v>2650</v>
      </c>
    </row>
    <row r="20" spans="2:21" ht="12" customHeight="1" x14ac:dyDescent="0.2">
      <c r="B20" s="627"/>
      <c r="C20" s="202" t="s">
        <v>371</v>
      </c>
      <c r="D20" s="202" t="s">
        <v>376</v>
      </c>
      <c r="E20" s="2187" t="s">
        <v>378</v>
      </c>
      <c r="F20" s="2187"/>
      <c r="G20" s="202" t="s">
        <v>3472</v>
      </c>
      <c r="H20" s="202" t="s">
        <v>384</v>
      </c>
      <c r="I20" s="202" t="s">
        <v>612</v>
      </c>
      <c r="J20" s="202" t="s">
        <v>391</v>
      </c>
      <c r="K20" s="202" t="s">
        <v>395</v>
      </c>
      <c r="L20" s="202" t="s">
        <v>2757</v>
      </c>
      <c r="M20" s="202" t="s">
        <v>860</v>
      </c>
      <c r="O20" s="269" t="s">
        <v>2644</v>
      </c>
      <c r="P20" s="270"/>
      <c r="Q20" s="270"/>
      <c r="R20" s="271"/>
      <c r="S20" s="640">
        <v>0.3</v>
      </c>
      <c r="T20" s="469"/>
      <c r="U20" s="573">
        <f t="shared" ref="U20:U31" si="0">S20*T20</f>
        <v>0</v>
      </c>
    </row>
    <row r="21" spans="2:21" ht="12" customHeight="1" x14ac:dyDescent="0.2">
      <c r="B21" s="625"/>
      <c r="C21" s="202" t="s">
        <v>2897</v>
      </c>
      <c r="D21" s="202" t="s">
        <v>375</v>
      </c>
      <c r="E21" s="2187" t="s">
        <v>379</v>
      </c>
      <c r="F21" s="2187"/>
      <c r="G21" s="202" t="s">
        <v>381</v>
      </c>
      <c r="H21" s="202" t="s">
        <v>385</v>
      </c>
      <c r="I21" s="202" t="s">
        <v>3628</v>
      </c>
      <c r="J21" s="202" t="s">
        <v>1059</v>
      </c>
      <c r="K21" s="202" t="s">
        <v>3368</v>
      </c>
      <c r="L21" s="648">
        <f>'Wrk A'!K5</f>
        <v>2162</v>
      </c>
      <c r="M21" s="202" t="s">
        <v>399</v>
      </c>
      <c r="O21" s="269" t="s">
        <v>2612</v>
      </c>
      <c r="P21" s="270"/>
      <c r="Q21" s="270"/>
      <c r="R21" s="271"/>
      <c r="S21" s="640">
        <v>0.3</v>
      </c>
      <c r="T21" s="469"/>
      <c r="U21" s="573">
        <f t="shared" si="0"/>
        <v>0</v>
      </c>
    </row>
    <row r="22" spans="2:21" ht="12" customHeight="1" x14ac:dyDescent="0.2">
      <c r="B22" s="625"/>
      <c r="C22" s="180"/>
      <c r="D22" s="202" t="s">
        <v>374</v>
      </c>
      <c r="E22" s="2187" t="s">
        <v>3680</v>
      </c>
      <c r="F22" s="2187"/>
      <c r="G22" s="202" t="s">
        <v>3481</v>
      </c>
      <c r="H22" s="202" t="s">
        <v>387</v>
      </c>
      <c r="I22" s="202" t="s">
        <v>388</v>
      </c>
      <c r="J22" s="202" t="s">
        <v>392</v>
      </c>
      <c r="K22" s="202" t="s">
        <v>396</v>
      </c>
      <c r="L22" s="202"/>
      <c r="M22" s="181"/>
      <c r="O22" s="269" t="s">
        <v>2615</v>
      </c>
      <c r="P22" s="270"/>
      <c r="Q22" s="270"/>
      <c r="R22" s="271"/>
      <c r="S22" s="640">
        <v>0.3</v>
      </c>
      <c r="T22" s="469"/>
      <c r="U22" s="573">
        <f t="shared" si="0"/>
        <v>0</v>
      </c>
    </row>
    <row r="23" spans="2:21" ht="12" customHeight="1" x14ac:dyDescent="0.2">
      <c r="B23" s="625"/>
      <c r="C23" s="202"/>
      <c r="D23" s="202" t="s">
        <v>3745</v>
      </c>
      <c r="E23" s="2189" t="s">
        <v>380</v>
      </c>
      <c r="F23" s="2190"/>
      <c r="G23" s="202" t="s">
        <v>382</v>
      </c>
      <c r="H23" s="202" t="s">
        <v>386</v>
      </c>
      <c r="I23" s="202"/>
      <c r="J23" s="202" t="s">
        <v>393</v>
      </c>
      <c r="K23" s="202"/>
      <c r="L23" s="202" t="s">
        <v>3959</v>
      </c>
      <c r="M23" s="202"/>
      <c r="O23" s="269" t="s">
        <v>2613</v>
      </c>
      <c r="P23" s="270"/>
      <c r="Q23" s="270"/>
      <c r="R23" s="271"/>
      <c r="S23" s="640">
        <v>0.2</v>
      </c>
      <c r="T23" s="469"/>
      <c r="U23" s="573">
        <f t="shared" si="0"/>
        <v>0</v>
      </c>
    </row>
    <row r="24" spans="2:21" ht="12" customHeight="1" x14ac:dyDescent="0.2">
      <c r="B24" s="625"/>
      <c r="C24" s="202"/>
      <c r="D24" s="180"/>
      <c r="E24" s="2187"/>
      <c r="F24" s="2187"/>
      <c r="G24" s="187"/>
      <c r="H24" s="180"/>
      <c r="I24" s="202"/>
      <c r="J24" s="187" t="s">
        <v>394</v>
      </c>
      <c r="K24" s="202"/>
      <c r="L24" s="202" t="s">
        <v>3482</v>
      </c>
      <c r="M24" s="202"/>
      <c r="O24" s="269" t="s">
        <v>2617</v>
      </c>
      <c r="P24" s="270"/>
      <c r="Q24" s="270"/>
      <c r="R24" s="271"/>
      <c r="S24" s="640">
        <v>0.5</v>
      </c>
      <c r="T24" s="469"/>
      <c r="U24" s="573">
        <f t="shared" si="0"/>
        <v>0</v>
      </c>
    </row>
    <row r="25" spans="2:21" ht="12" customHeight="1" x14ac:dyDescent="0.2">
      <c r="B25" s="629" t="s">
        <v>3983</v>
      </c>
      <c r="C25" s="2183">
        <f>E11</f>
        <v>0</v>
      </c>
      <c r="D25" s="649"/>
      <c r="E25" s="628" t="s">
        <v>400</v>
      </c>
      <c r="F25" s="654"/>
      <c r="G25" s="630"/>
      <c r="H25" s="650">
        <f>'Wrk A'!D26</f>
        <v>30</v>
      </c>
      <c r="I25" s="779">
        <f>'Wrk A'!D27</f>
        <v>40</v>
      </c>
      <c r="J25" s="651">
        <f>IF(D25&gt;0,(H25+D25*(K25-H25)),IF(F25&gt;0,F25,IF(D25=0,IF(F25=0,H25,))))</f>
        <v>30</v>
      </c>
      <c r="K25" s="425">
        <f>'Wrk A'!D25</f>
        <v>70</v>
      </c>
      <c r="L25" s="2186">
        <f>'Wrk A'!L5</f>
        <v>0.93</v>
      </c>
      <c r="M25" s="655">
        <f>$L$25*1.1*$C25*(K25-J25)</f>
        <v>0</v>
      </c>
      <c r="O25" s="269" t="s">
        <v>2647</v>
      </c>
      <c r="P25" s="270"/>
      <c r="Q25" s="270"/>
      <c r="R25" s="271"/>
      <c r="S25" s="640">
        <v>1.5</v>
      </c>
      <c r="T25" s="469"/>
      <c r="U25" s="573">
        <f t="shared" si="0"/>
        <v>0</v>
      </c>
    </row>
    <row r="26" spans="2:21" ht="12" customHeight="1" x14ac:dyDescent="0.2">
      <c r="B26" s="629" t="s">
        <v>1749</v>
      </c>
      <c r="C26" s="2184"/>
      <c r="D26" s="649"/>
      <c r="E26" s="628" t="s">
        <v>400</v>
      </c>
      <c r="F26" s="619"/>
      <c r="G26" s="631"/>
      <c r="H26" s="658">
        <f>'Wrk A'!J25</f>
        <v>99.1</v>
      </c>
      <c r="I26" s="779">
        <f>'Wrk A'!J27</f>
        <v>24.099999999999994</v>
      </c>
      <c r="J26" s="651">
        <f>IF(D26&gt;0,(H26+D26*(K26-H26)),IF(F26&gt;0,F26,IF(D26=0,IF(F26=0,H26,))))</f>
        <v>99.1</v>
      </c>
      <c r="K26" s="434">
        <f>'Wrk A'!J26</f>
        <v>75</v>
      </c>
      <c r="L26" s="1347"/>
      <c r="M26" s="655">
        <f>$L$25*1.1*$C25*(J26-K26)</f>
        <v>0</v>
      </c>
      <c r="O26" s="269" t="s">
        <v>2651</v>
      </c>
      <c r="P26" s="270"/>
      <c r="Q26" s="270"/>
      <c r="R26" s="271"/>
      <c r="S26" s="640">
        <v>0.5</v>
      </c>
      <c r="T26" s="469"/>
      <c r="U26" s="573">
        <f t="shared" si="0"/>
        <v>0</v>
      </c>
    </row>
    <row r="27" spans="2:21" ht="12" customHeight="1" x14ac:dyDescent="0.2">
      <c r="B27" s="629" t="s">
        <v>1750</v>
      </c>
      <c r="C27" s="2185"/>
      <c r="D27" s="652"/>
      <c r="E27" s="628" t="s">
        <v>3678</v>
      </c>
      <c r="F27" s="620"/>
      <c r="G27" s="620"/>
      <c r="H27" s="653">
        <f>'Wrk A'!K25</f>
        <v>-32</v>
      </c>
      <c r="I27" s="647"/>
      <c r="J27" s="656">
        <f>IF(D27&gt;0,(H27*(1-D27)),IF(F27&gt;0,F27-G27,IF(D27=0,IF(F27=0,H27,))))</f>
        <v>-32</v>
      </c>
      <c r="K27" s="647"/>
      <c r="L27" s="1957"/>
      <c r="M27" s="657">
        <f>$L$25*0.68*$C25*J27</f>
        <v>0</v>
      </c>
      <c r="O27" s="269" t="s">
        <v>2611</v>
      </c>
      <c r="P27" s="270"/>
      <c r="Q27" s="270"/>
      <c r="R27" s="271"/>
      <c r="S27" s="640">
        <v>0.5</v>
      </c>
      <c r="T27" s="469"/>
      <c r="U27" s="573">
        <f t="shared" si="0"/>
        <v>0</v>
      </c>
    </row>
    <row r="28" spans="2:21" ht="12" customHeight="1" x14ac:dyDescent="0.2">
      <c r="B28" s="252"/>
      <c r="C28" s="208"/>
      <c r="D28" s="208"/>
      <c r="F28" s="208"/>
      <c r="G28" s="208"/>
      <c r="H28" s="208"/>
      <c r="I28" s="208"/>
      <c r="J28" s="208"/>
      <c r="K28" s="208"/>
      <c r="L28" s="208"/>
      <c r="M28" s="564"/>
      <c r="O28" s="269" t="s">
        <v>2621</v>
      </c>
      <c r="P28" s="270"/>
      <c r="Q28" s="270"/>
      <c r="R28" s="271"/>
      <c r="S28" s="640">
        <v>1</v>
      </c>
      <c r="T28" s="469"/>
      <c r="U28" s="573">
        <f t="shared" si="0"/>
        <v>0</v>
      </c>
    </row>
    <row r="29" spans="2:21" ht="12" customHeight="1" x14ac:dyDescent="0.2">
      <c r="B29" s="473" t="s">
        <v>2627</v>
      </c>
      <c r="C29" s="218"/>
      <c r="D29" s="217"/>
      <c r="E29" s="217"/>
      <c r="F29" s="217"/>
      <c r="G29" s="217"/>
      <c r="H29" s="217"/>
      <c r="I29" s="217"/>
      <c r="J29" s="217"/>
      <c r="K29" s="217"/>
      <c r="L29" s="217"/>
      <c r="M29" s="643"/>
      <c r="O29" s="269" t="s">
        <v>2618</v>
      </c>
      <c r="P29" s="270"/>
      <c r="Q29" s="270"/>
      <c r="R29" s="271"/>
      <c r="S29" s="640">
        <v>0.5</v>
      </c>
      <c r="T29" s="469"/>
      <c r="U29" s="573">
        <f t="shared" si="0"/>
        <v>0</v>
      </c>
    </row>
    <row r="30" spans="2:21" ht="12" customHeight="1" x14ac:dyDescent="0.2">
      <c r="B30" s="179"/>
      <c r="C30" s="208" t="s">
        <v>2626</v>
      </c>
      <c r="D30" s="208"/>
      <c r="E30" s="208"/>
      <c r="F30" s="208"/>
      <c r="G30" s="208"/>
      <c r="H30" s="208"/>
      <c r="I30" s="208"/>
      <c r="J30" s="208"/>
      <c r="K30" s="208"/>
      <c r="L30" s="208"/>
      <c r="M30" s="564"/>
      <c r="O30" s="269" t="s">
        <v>2622</v>
      </c>
      <c r="P30" s="270"/>
      <c r="Q30" s="270"/>
      <c r="R30" s="271"/>
      <c r="S30" s="641">
        <v>0.15</v>
      </c>
      <c r="T30" s="469"/>
      <c r="U30" s="573">
        <f t="shared" si="0"/>
        <v>0</v>
      </c>
    </row>
    <row r="31" spans="2:21" ht="12" customHeight="1" x14ac:dyDescent="0.2">
      <c r="B31" s="252" t="s">
        <v>2628</v>
      </c>
      <c r="C31" s="180"/>
      <c r="D31" s="208"/>
      <c r="E31" s="208"/>
      <c r="F31" s="208"/>
      <c r="G31" s="208"/>
      <c r="H31" s="208"/>
      <c r="I31" s="208"/>
      <c r="J31" s="208"/>
      <c r="K31" s="208"/>
      <c r="L31" s="208"/>
      <c r="M31" s="564"/>
      <c r="O31" s="269" t="s">
        <v>2619</v>
      </c>
      <c r="P31" s="270"/>
      <c r="Q31" s="270"/>
      <c r="R31" s="271"/>
      <c r="S31" s="642">
        <v>0.5</v>
      </c>
      <c r="T31" s="469"/>
      <c r="U31" s="573">
        <f t="shared" si="0"/>
        <v>0</v>
      </c>
    </row>
    <row r="32" spans="2:21" ht="12" customHeight="1" x14ac:dyDescent="0.2">
      <c r="B32" s="179"/>
      <c r="C32" s="208" t="s">
        <v>2629</v>
      </c>
      <c r="D32" s="208"/>
      <c r="E32" s="208"/>
      <c r="F32" s="208"/>
      <c r="G32" s="208"/>
      <c r="H32" s="208"/>
      <c r="I32" s="208"/>
      <c r="J32" s="208"/>
      <c r="K32" s="208"/>
      <c r="L32" s="208"/>
      <c r="M32" s="564"/>
      <c r="O32" s="179" t="s">
        <v>2620</v>
      </c>
      <c r="P32" s="180"/>
      <c r="Q32" s="180"/>
      <c r="S32" s="638"/>
      <c r="T32" s="271"/>
      <c r="U32" s="639"/>
    </row>
    <row r="33" spans="2:21" ht="12" customHeight="1" x14ac:dyDescent="0.2">
      <c r="B33" s="179" t="s">
        <v>3103</v>
      </c>
      <c r="C33" s="180"/>
      <c r="D33" s="180"/>
      <c r="E33" s="180"/>
      <c r="F33" s="180"/>
      <c r="G33" s="180"/>
      <c r="H33" s="180"/>
      <c r="I33" s="180"/>
      <c r="J33" s="180"/>
      <c r="K33" s="180"/>
      <c r="L33" s="180"/>
      <c r="M33" s="181"/>
      <c r="O33" s="216" t="s">
        <v>4123</v>
      </c>
      <c r="P33" s="218"/>
      <c r="Q33" s="218"/>
      <c r="R33" s="219"/>
      <c r="S33" s="636" t="s">
        <v>2648</v>
      </c>
      <c r="T33" s="637" t="s">
        <v>2649</v>
      </c>
      <c r="U33" s="639"/>
    </row>
    <row r="34" spans="2:21" ht="12" customHeight="1" x14ac:dyDescent="0.2">
      <c r="B34" s="179" t="s">
        <v>3104</v>
      </c>
      <c r="C34" s="180"/>
      <c r="D34" s="180"/>
      <c r="E34" s="180"/>
      <c r="F34" s="180"/>
      <c r="G34" s="180"/>
      <c r="H34" s="180"/>
      <c r="I34" s="180"/>
      <c r="J34" s="180"/>
      <c r="K34" s="180"/>
      <c r="L34" s="180"/>
      <c r="M34" s="181"/>
      <c r="O34" s="220"/>
      <c r="P34" s="221"/>
      <c r="Q34" s="221"/>
      <c r="R34" s="222"/>
      <c r="S34" s="513">
        <v>50</v>
      </c>
      <c r="T34" s="469"/>
      <c r="U34" s="573">
        <f>S34*T34</f>
        <v>0</v>
      </c>
    </row>
    <row r="35" spans="2:21" ht="12" customHeight="1" x14ac:dyDescent="0.2">
      <c r="B35" s="179" t="s">
        <v>3721</v>
      </c>
      <c r="C35" s="180"/>
      <c r="D35" s="180"/>
      <c r="E35" s="180"/>
      <c r="F35" s="180"/>
      <c r="G35" s="180"/>
      <c r="H35" s="180"/>
      <c r="I35" s="180"/>
      <c r="J35" s="180"/>
      <c r="K35" s="180"/>
      <c r="L35" s="180"/>
      <c r="M35" s="181"/>
      <c r="S35" s="780"/>
      <c r="T35" s="781" t="s">
        <v>826</v>
      </c>
      <c r="U35" s="782">
        <f>SUM(U20:U31)+U34</f>
        <v>0</v>
      </c>
    </row>
    <row r="36" spans="2:21" ht="12" customHeight="1" x14ac:dyDescent="0.2">
      <c r="B36" s="179" t="s">
        <v>3722</v>
      </c>
      <c r="C36" s="180"/>
      <c r="D36" s="180"/>
      <c r="E36" s="180"/>
      <c r="F36" s="180"/>
      <c r="G36" s="180"/>
      <c r="H36" s="180"/>
      <c r="I36" s="180"/>
      <c r="J36" s="180"/>
      <c r="K36" s="180"/>
      <c r="L36" s="180"/>
      <c r="M36" s="181"/>
    </row>
    <row r="37" spans="2:21" ht="12" customHeight="1" x14ac:dyDescent="0.2">
      <c r="B37" s="179" t="s">
        <v>1018</v>
      </c>
      <c r="C37" s="180"/>
      <c r="D37" s="180"/>
      <c r="E37" s="180"/>
      <c r="F37" s="180"/>
      <c r="G37" s="180"/>
      <c r="H37" s="180"/>
      <c r="I37" s="180"/>
      <c r="J37" s="180"/>
      <c r="K37" s="180"/>
      <c r="L37" s="180"/>
      <c r="M37" s="181"/>
      <c r="O37" s="174" t="s">
        <v>409</v>
      </c>
    </row>
    <row r="38" spans="2:21" ht="12" customHeight="1" x14ac:dyDescent="0.2">
      <c r="B38" s="179" t="s">
        <v>1019</v>
      </c>
      <c r="C38" s="180"/>
      <c r="D38" s="180"/>
      <c r="E38" s="180"/>
      <c r="F38" s="180"/>
      <c r="G38" s="180"/>
      <c r="H38" s="180"/>
      <c r="I38" s="180"/>
      <c r="J38" s="180"/>
      <c r="K38" s="180"/>
      <c r="L38" s="180"/>
      <c r="M38" s="181"/>
      <c r="R38" s="198" t="s">
        <v>2462</v>
      </c>
      <c r="S38" s="573" t="e">
        <f>'Form N1'!#REF!/(20*L25)</f>
        <v>#REF!</v>
      </c>
      <c r="T38" s="174" t="s">
        <v>3430</v>
      </c>
    </row>
    <row r="39" spans="2:21" ht="12" customHeight="1" x14ac:dyDescent="0.2">
      <c r="B39" s="179" t="s">
        <v>825</v>
      </c>
      <c r="C39" s="180"/>
      <c r="D39" s="180"/>
      <c r="E39" s="180"/>
      <c r="F39" s="180"/>
      <c r="G39" s="180"/>
      <c r="H39" s="180"/>
      <c r="I39" s="180"/>
      <c r="J39" s="180"/>
      <c r="K39" s="180"/>
      <c r="L39" s="180"/>
      <c r="M39" s="181"/>
      <c r="R39" s="198" t="s">
        <v>3431</v>
      </c>
      <c r="S39" s="493"/>
    </row>
    <row r="40" spans="2:21" ht="12" customHeight="1" x14ac:dyDescent="0.2">
      <c r="B40" s="179" t="s">
        <v>3369</v>
      </c>
      <c r="C40" s="180"/>
      <c r="D40" s="180"/>
      <c r="E40" s="180"/>
      <c r="F40" s="180"/>
      <c r="G40" s="180"/>
      <c r="H40" s="180"/>
      <c r="I40" s="180"/>
      <c r="J40" s="180"/>
      <c r="K40" s="180"/>
      <c r="L40" s="180"/>
      <c r="M40" s="181"/>
      <c r="R40" s="198" t="s">
        <v>2909</v>
      </c>
      <c r="S40" s="573" t="e">
        <f>IF(S39&gt;0,S39,S38)</f>
        <v>#REF!</v>
      </c>
    </row>
    <row r="41" spans="2:21" ht="12" customHeight="1" x14ac:dyDescent="0.2">
      <c r="B41" s="179" t="s">
        <v>2408</v>
      </c>
      <c r="C41" s="180"/>
      <c r="D41" s="180"/>
      <c r="E41" s="180"/>
      <c r="F41" s="180"/>
      <c r="G41" s="180"/>
      <c r="H41" s="180"/>
      <c r="I41" s="180"/>
      <c r="J41" s="180"/>
      <c r="K41" s="180"/>
      <c r="L41" s="180"/>
      <c r="M41" s="181"/>
      <c r="R41" s="198" t="s">
        <v>2908</v>
      </c>
      <c r="S41" s="493"/>
      <c r="T41" s="174" t="s">
        <v>3432</v>
      </c>
    </row>
    <row r="42" spans="2:21" ht="12" customHeight="1" x14ac:dyDescent="0.2">
      <c r="B42" s="179" t="s">
        <v>1387</v>
      </c>
      <c r="C42" s="180"/>
      <c r="D42" s="180"/>
      <c r="E42" s="180"/>
      <c r="F42" s="180"/>
      <c r="G42" s="180"/>
      <c r="H42" s="180"/>
      <c r="I42" s="180"/>
      <c r="J42" s="180"/>
      <c r="K42" s="180"/>
      <c r="L42" s="180"/>
      <c r="M42" s="181"/>
      <c r="R42" s="198" t="s">
        <v>2907</v>
      </c>
      <c r="S42" s="493"/>
      <c r="T42" s="174" t="s">
        <v>3432</v>
      </c>
      <c r="U42" s="174" t="s">
        <v>2911</v>
      </c>
    </row>
    <row r="43" spans="2:21" ht="12" customHeight="1" x14ac:dyDescent="0.2">
      <c r="B43" s="220" t="s">
        <v>3468</v>
      </c>
      <c r="C43" s="221"/>
      <c r="D43" s="221"/>
      <c r="E43" s="221"/>
      <c r="F43" s="221"/>
      <c r="G43" s="221"/>
      <c r="H43" s="221"/>
      <c r="I43" s="221"/>
      <c r="J43" s="221"/>
      <c r="K43" s="221"/>
      <c r="L43" s="221"/>
      <c r="M43" s="222"/>
      <c r="R43" s="198" t="s">
        <v>2910</v>
      </c>
      <c r="S43" s="493"/>
      <c r="T43" s="174" t="s">
        <v>2912</v>
      </c>
    </row>
    <row r="44" spans="2:21" ht="12" customHeight="1" x14ac:dyDescent="0.2">
      <c r="R44" s="198" t="s">
        <v>3504</v>
      </c>
      <c r="S44" s="931"/>
    </row>
    <row r="45" spans="2:21" ht="12" customHeight="1" x14ac:dyDescent="0.2">
      <c r="R45" s="198" t="s">
        <v>2913</v>
      </c>
      <c r="S45" s="573" t="e">
        <f>S44*S40</f>
        <v>#REF!</v>
      </c>
    </row>
    <row r="46" spans="2:21" ht="12" customHeight="1" x14ac:dyDescent="0.2">
      <c r="R46" s="198" t="s">
        <v>2914</v>
      </c>
      <c r="S46" s="573">
        <f>S44*S43</f>
        <v>0</v>
      </c>
    </row>
    <row r="47" spans="2:21" ht="12" customHeight="1" x14ac:dyDescent="0.2">
      <c r="R47" s="198" t="s">
        <v>2915</v>
      </c>
      <c r="S47" s="573" t="str">
        <f>IF((S41+S42=1),S41*S45+S42*S43,"err")</f>
        <v>err</v>
      </c>
    </row>
    <row r="48" spans="2:21" ht="12" customHeight="1" x14ac:dyDescent="0.2">
      <c r="R48" s="198" t="s">
        <v>2917</v>
      </c>
      <c r="S48" s="493"/>
      <c r="T48" s="174" t="s">
        <v>2916</v>
      </c>
    </row>
    <row r="49" spans="18:19" ht="12" customHeight="1" x14ac:dyDescent="0.2">
      <c r="R49" s="198" t="s">
        <v>2918</v>
      </c>
      <c r="S49" s="573" t="str">
        <f>IF(S48&gt;0,S48,S47)</f>
        <v>err</v>
      </c>
    </row>
  </sheetData>
  <mergeCells count="12">
    <mergeCell ref="C25:C27"/>
    <mergeCell ref="L25:L27"/>
    <mergeCell ref="E18:G18"/>
    <mergeCell ref="E22:F22"/>
    <mergeCell ref="O2:U2"/>
    <mergeCell ref="E24:F24"/>
    <mergeCell ref="E23:F23"/>
    <mergeCell ref="B2:M2"/>
    <mergeCell ref="B3:M3"/>
    <mergeCell ref="E19:F19"/>
    <mergeCell ref="E20:F20"/>
    <mergeCell ref="E21:F21"/>
  </mergeCells>
  <phoneticPr fontId="27" type="noConversion"/>
  <pageMargins left="0.75" right="0.75" top="1" bottom="1" header="0.5" footer="0.5"/>
  <pageSetup scale="87"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3">
    <pageSetUpPr fitToPage="1"/>
  </sheetPr>
  <dimension ref="B2:AB69"/>
  <sheetViews>
    <sheetView topLeftCell="F24" workbookViewId="0">
      <selection activeCell="P33" sqref="P33"/>
    </sheetView>
  </sheetViews>
  <sheetFormatPr defaultColWidth="8.7109375" defaultRowHeight="12" customHeight="1" x14ac:dyDescent="0.2"/>
  <cols>
    <col min="1" max="1" width="3.7109375" style="174" customWidth="1"/>
    <col min="2" max="2" width="3.5703125" style="185" customWidth="1"/>
    <col min="3" max="16384" width="8.7109375" style="174"/>
  </cols>
  <sheetData>
    <row r="2" spans="2:28" ht="12" customHeight="1" x14ac:dyDescent="0.2">
      <c r="B2" s="2116" t="s">
        <v>2090</v>
      </c>
      <c r="C2" s="1960"/>
      <c r="D2" s="1960"/>
      <c r="E2" s="1960"/>
      <c r="F2" s="1960"/>
      <c r="G2" s="1960"/>
      <c r="H2" s="1960"/>
      <c r="I2" s="1960"/>
      <c r="J2" s="1960"/>
      <c r="K2" s="1960"/>
      <c r="L2" s="1960"/>
      <c r="M2" s="1960"/>
      <c r="N2" s="2034"/>
    </row>
    <row r="3" spans="2:28" ht="12" customHeight="1" x14ac:dyDescent="0.2">
      <c r="B3" s="2118" t="s">
        <v>2091</v>
      </c>
      <c r="C3" s="2119"/>
      <c r="D3" s="2119"/>
      <c r="E3" s="2119"/>
      <c r="F3" s="2119"/>
      <c r="G3" s="2119"/>
      <c r="H3" s="2119"/>
      <c r="I3" s="2119"/>
      <c r="J3" s="2119"/>
      <c r="K3" s="2119"/>
      <c r="L3" s="2119"/>
      <c r="M3" s="2119"/>
      <c r="N3" s="2199"/>
    </row>
    <row r="4" spans="2:28" ht="12" customHeight="1" x14ac:dyDescent="0.2">
      <c r="B4" s="220"/>
      <c r="C4" s="221"/>
      <c r="D4" s="221"/>
      <c r="E4" s="221"/>
      <c r="F4" s="454" t="s">
        <v>476</v>
      </c>
      <c r="G4" s="687" t="str">
        <f>'Wrk A'!H5</f>
        <v>Block</v>
      </c>
      <c r="H4" s="925" t="s">
        <v>2111</v>
      </c>
      <c r="I4" s="926" t="str">
        <f>'Wrk A'!C15</f>
        <v>Jul &amp; Aug</v>
      </c>
      <c r="J4" s="925" t="s">
        <v>2112</v>
      </c>
      <c r="K4" s="953">
        <f>'Wrk A'!K16</f>
        <v>0.5</v>
      </c>
      <c r="L4" s="221"/>
      <c r="M4" s="221"/>
      <c r="N4" s="222"/>
    </row>
    <row r="5" spans="2:28" ht="8.1" customHeight="1" x14ac:dyDescent="0.2">
      <c r="B5" s="269"/>
      <c r="C5" s="270"/>
      <c r="D5" s="270"/>
      <c r="E5" s="665"/>
      <c r="F5" s="666"/>
      <c r="G5" s="459"/>
      <c r="H5" s="667"/>
      <c r="I5" s="459"/>
      <c r="J5" s="668"/>
      <c r="K5" s="270"/>
      <c r="L5" s="270"/>
      <c r="M5" s="270"/>
      <c r="N5" s="271"/>
    </row>
    <row r="6" spans="2:28" ht="12" customHeight="1" x14ac:dyDescent="0.2">
      <c r="B6" s="2113" t="s">
        <v>1436</v>
      </c>
      <c r="C6" s="1603"/>
      <c r="D6" s="1603"/>
      <c r="E6" s="1603"/>
      <c r="F6" s="1603"/>
      <c r="G6" s="1603"/>
      <c r="H6" s="1603"/>
      <c r="I6" s="1603"/>
      <c r="J6" s="1603"/>
      <c r="K6" s="1603"/>
      <c r="L6" s="1603"/>
      <c r="M6" s="1603"/>
      <c r="N6" s="1350"/>
      <c r="R6" s="185"/>
      <c r="S6" s="185"/>
    </row>
    <row r="7" spans="2:28" ht="12" customHeight="1" x14ac:dyDescent="0.2">
      <c r="B7" s="960" t="s">
        <v>1288</v>
      </c>
      <c r="C7" s="958"/>
      <c r="D7" s="958"/>
      <c r="E7" s="958"/>
      <c r="F7" s="958"/>
      <c r="G7" s="958"/>
      <c r="H7" s="958"/>
      <c r="I7" s="958"/>
      <c r="J7" s="958"/>
      <c r="K7" s="6"/>
      <c r="L7" s="958"/>
      <c r="M7" s="959"/>
      <c r="N7" s="555"/>
      <c r="R7" s="185"/>
      <c r="S7" s="185"/>
    </row>
    <row r="8" spans="2:28" ht="12" customHeight="1" x14ac:dyDescent="0.2">
      <c r="B8" s="2200" t="s">
        <v>2608</v>
      </c>
      <c r="C8" s="1314"/>
      <c r="D8" s="1315"/>
      <c r="E8" s="2201" t="s">
        <v>1441</v>
      </c>
      <c r="F8" s="1688"/>
      <c r="G8" s="56" t="s">
        <v>956</v>
      </c>
      <c r="H8" s="2201" t="s">
        <v>2841</v>
      </c>
      <c r="I8" s="1688"/>
      <c r="J8" s="2201" t="s">
        <v>2844</v>
      </c>
      <c r="K8" s="1688"/>
      <c r="L8" s="2202"/>
      <c r="M8" s="183" t="s">
        <v>3983</v>
      </c>
      <c r="N8" s="183" t="s">
        <v>2848</v>
      </c>
    </row>
    <row r="9" spans="2:28" ht="12" customHeight="1" x14ac:dyDescent="0.2">
      <c r="B9" s="2203" t="s">
        <v>1437</v>
      </c>
      <c r="C9" s="1360"/>
      <c r="D9" s="202" t="s">
        <v>1439</v>
      </c>
      <c r="E9" s="202" t="s">
        <v>3429</v>
      </c>
      <c r="F9" s="659" t="s">
        <v>397</v>
      </c>
      <c r="G9" s="659" t="s">
        <v>1442</v>
      </c>
      <c r="H9" s="202" t="s">
        <v>610</v>
      </c>
      <c r="I9" s="202" t="s">
        <v>611</v>
      </c>
      <c r="J9" s="202" t="s">
        <v>2846</v>
      </c>
      <c r="K9" s="202" t="s">
        <v>398</v>
      </c>
      <c r="L9" s="202" t="s">
        <v>1055</v>
      </c>
      <c r="M9" s="202" t="s">
        <v>1053</v>
      </c>
      <c r="N9" s="624" t="s">
        <v>2849</v>
      </c>
    </row>
    <row r="10" spans="2:28" ht="12" customHeight="1" x14ac:dyDescent="0.2">
      <c r="B10" s="2204" t="s">
        <v>1438</v>
      </c>
      <c r="C10" s="1362"/>
      <c r="D10" s="187" t="s">
        <v>1440</v>
      </c>
      <c r="E10" s="187" t="s">
        <v>3470</v>
      </c>
      <c r="F10" s="187" t="s">
        <v>3481</v>
      </c>
      <c r="G10" s="187" t="s">
        <v>1443</v>
      </c>
      <c r="H10" s="187" t="s">
        <v>1444</v>
      </c>
      <c r="I10" s="187" t="s">
        <v>2845</v>
      </c>
      <c r="J10" s="187" t="s">
        <v>750</v>
      </c>
      <c r="K10" s="187" t="s">
        <v>370</v>
      </c>
      <c r="L10" s="187" t="s">
        <v>2847</v>
      </c>
      <c r="M10" s="187" t="s">
        <v>860</v>
      </c>
      <c r="N10" s="187" t="s">
        <v>3511</v>
      </c>
    </row>
    <row r="11" spans="2:28" ht="12" customHeight="1" x14ac:dyDescent="0.2">
      <c r="B11" s="2205">
        <f>'Wrk A'!D25</f>
        <v>70</v>
      </c>
      <c r="C11" s="2206"/>
      <c r="D11" s="956">
        <f>'Wrk A'!D11</f>
        <v>0</v>
      </c>
      <c r="E11" s="661">
        <f>'Wrk A'!C12</f>
        <v>30</v>
      </c>
      <c r="F11" s="472">
        <f>'Wrk A'!K5</f>
        <v>2162</v>
      </c>
      <c r="G11" s="501">
        <f>'Wrk A'!L5</f>
        <v>0.93</v>
      </c>
      <c r="H11" s="672">
        <f>'Wrk A'!E12</f>
        <v>0</v>
      </c>
      <c r="I11" s="661">
        <f>'Wrk A'!E11</f>
        <v>0</v>
      </c>
      <c r="J11" s="472">
        <f>'Wrk F'!J47</f>
        <v>0</v>
      </c>
      <c r="K11" s="472">
        <f>' Wrk H'!C25</f>
        <v>0</v>
      </c>
      <c r="L11" s="472">
        <f>J11+K11</f>
        <v>0</v>
      </c>
      <c r="M11" s="472">
        <f>0.68*G11*L11*(I11-H11)</f>
        <v>0</v>
      </c>
      <c r="N11" s="661">
        <f>M11*0.00272</f>
        <v>0</v>
      </c>
    </row>
    <row r="12" spans="2:28" ht="12" customHeight="1" x14ac:dyDescent="0.2">
      <c r="B12" s="2197" t="s">
        <v>2850</v>
      </c>
      <c r="C12" s="1605"/>
      <c r="D12" s="1605"/>
      <c r="E12" s="1605"/>
      <c r="F12" s="1605"/>
      <c r="G12" s="1605"/>
      <c r="H12" s="1605"/>
      <c r="I12" s="1605"/>
      <c r="J12" s="1605"/>
      <c r="K12" s="1605"/>
      <c r="L12" s="1605"/>
      <c r="M12" s="1605"/>
      <c r="N12" s="1961"/>
    </row>
    <row r="13" spans="2:28" ht="8.1" customHeight="1" x14ac:dyDescent="0.2">
      <c r="B13" s="563"/>
      <c r="C13" s="288"/>
      <c r="D13" s="288"/>
      <c r="E13" s="288"/>
      <c r="F13" s="288"/>
      <c r="G13" s="288"/>
      <c r="H13" s="288"/>
      <c r="I13" s="288"/>
      <c r="J13" s="288"/>
      <c r="K13" s="288"/>
      <c r="L13" s="288"/>
      <c r="M13" s="288"/>
      <c r="N13" s="271"/>
    </row>
    <row r="14" spans="2:28" ht="12" customHeight="1" x14ac:dyDescent="0.2">
      <c r="B14" s="2113" t="s">
        <v>3063</v>
      </c>
      <c r="C14" s="1314"/>
      <c r="D14" s="1314"/>
      <c r="E14" s="1314"/>
      <c r="F14" s="1314"/>
      <c r="G14" s="1314"/>
      <c r="H14" s="1314"/>
      <c r="I14" s="1314"/>
      <c r="J14" s="1314"/>
      <c r="K14" s="1314"/>
      <c r="L14" s="1314"/>
      <c r="M14" s="1314"/>
      <c r="N14" s="1315"/>
    </row>
    <row r="15" spans="2:28" ht="12" customHeight="1" x14ac:dyDescent="0.2">
      <c r="B15" s="663" t="s">
        <v>3073</v>
      </c>
      <c r="C15" s="218"/>
      <c r="D15" s="517"/>
      <c r="E15" s="480"/>
      <c r="F15" s="200" t="s">
        <v>3610</v>
      </c>
      <c r="G15" s="200" t="s">
        <v>2757</v>
      </c>
      <c r="H15" s="200" t="s">
        <v>1005</v>
      </c>
      <c r="I15" s="199" t="s">
        <v>3070</v>
      </c>
      <c r="J15" s="200" t="s">
        <v>3068</v>
      </c>
      <c r="K15" s="200" t="s">
        <v>1003</v>
      </c>
      <c r="L15" s="200" t="s">
        <v>1002</v>
      </c>
      <c r="M15" s="200" t="s">
        <v>1000</v>
      </c>
      <c r="N15" s="200" t="s">
        <v>3064</v>
      </c>
      <c r="R15" s="185"/>
      <c r="S15" s="185"/>
    </row>
    <row r="16" spans="2:28" ht="12" customHeight="1" x14ac:dyDescent="0.2">
      <c r="B16" s="559" t="s">
        <v>3074</v>
      </c>
      <c r="C16" s="180"/>
      <c r="D16" s="662"/>
      <c r="E16" s="662"/>
      <c r="F16" s="201">
        <v>1</v>
      </c>
      <c r="G16" s="202" t="s">
        <v>3071</v>
      </c>
      <c r="H16" s="202" t="s">
        <v>1006</v>
      </c>
      <c r="I16" s="202" t="s">
        <v>3069</v>
      </c>
      <c r="J16" s="202" t="s">
        <v>3069</v>
      </c>
      <c r="K16" s="202" t="s">
        <v>3067</v>
      </c>
      <c r="L16" s="202" t="s">
        <v>3407</v>
      </c>
      <c r="M16" s="202" t="s">
        <v>3513</v>
      </c>
      <c r="N16" s="202" t="s">
        <v>1053</v>
      </c>
      <c r="U16" s="940"/>
      <c r="V16" s="940"/>
      <c r="W16" s="940"/>
      <c r="X16" s="940"/>
      <c r="Y16" s="940"/>
      <c r="Z16" s="940"/>
      <c r="AA16" s="940"/>
      <c r="AB16" s="940"/>
    </row>
    <row r="17" spans="2:28" ht="12" customHeight="1" x14ac:dyDescent="0.2">
      <c r="B17" s="559" t="s">
        <v>3075</v>
      </c>
      <c r="C17" s="180"/>
      <c r="D17" s="228"/>
      <c r="E17" s="662"/>
      <c r="F17" s="202" t="s">
        <v>3611</v>
      </c>
      <c r="G17" s="202" t="s">
        <v>3072</v>
      </c>
      <c r="H17" s="202"/>
      <c r="I17" s="202" t="s">
        <v>1920</v>
      </c>
      <c r="J17" s="202" t="s">
        <v>1921</v>
      </c>
      <c r="K17" s="202"/>
      <c r="L17" s="202"/>
      <c r="M17" s="202" t="s">
        <v>3066</v>
      </c>
      <c r="N17" s="202" t="s">
        <v>860</v>
      </c>
      <c r="U17" s="180"/>
      <c r="V17" s="180"/>
      <c r="W17" s="180"/>
      <c r="X17" s="180"/>
      <c r="Y17" s="180"/>
      <c r="Z17" s="180"/>
      <c r="AA17" s="180"/>
      <c r="AB17" s="180"/>
    </row>
    <row r="18" spans="2:28" ht="12" customHeight="1" x14ac:dyDescent="0.2">
      <c r="B18" s="192"/>
      <c r="C18" s="221"/>
      <c r="D18" s="664"/>
      <c r="E18" s="664"/>
      <c r="F18" s="187" t="s">
        <v>1000</v>
      </c>
      <c r="G18" s="187"/>
      <c r="H18" s="187"/>
      <c r="I18" s="187"/>
      <c r="J18" s="187"/>
      <c r="K18" s="187"/>
      <c r="L18" s="187"/>
      <c r="M18" s="187" t="s">
        <v>3065</v>
      </c>
      <c r="N18" s="187"/>
    </row>
    <row r="19" spans="2:28" ht="12" customHeight="1" x14ac:dyDescent="0.2">
      <c r="B19" s="192" t="s">
        <v>3612</v>
      </c>
      <c r="C19" s="269"/>
      <c r="D19" s="674"/>
      <c r="E19" s="674"/>
      <c r="F19" s="674"/>
      <c r="G19" s="674"/>
      <c r="H19" s="674"/>
      <c r="I19" s="674"/>
      <c r="J19" s="674"/>
      <c r="K19" s="674"/>
      <c r="L19" s="674"/>
      <c r="M19" s="674"/>
      <c r="N19" s="675"/>
    </row>
    <row r="20" spans="2:28" ht="12" customHeight="1" x14ac:dyDescent="0.2">
      <c r="B20" s="513" t="s">
        <v>481</v>
      </c>
      <c r="C20" s="646"/>
      <c r="D20" s="673"/>
      <c r="E20" s="673"/>
      <c r="F20" s="469"/>
      <c r="G20" s="469"/>
      <c r="H20" s="467"/>
      <c r="I20" s="670"/>
      <c r="J20" s="670"/>
      <c r="K20" s="661">
        <f>I20-J20</f>
        <v>0</v>
      </c>
      <c r="L20" s="670"/>
      <c r="M20" s="467"/>
      <c r="N20" s="472">
        <f>ABS(IF(F20=0,(G20*K20*M20),G20*M20))</f>
        <v>0</v>
      </c>
      <c r="P20" s="939"/>
      <c r="Q20" s="939"/>
      <c r="R20" s="939"/>
      <c r="S20" s="939"/>
      <c r="T20" s="939"/>
    </row>
    <row r="21" spans="2:28" ht="12" customHeight="1" x14ac:dyDescent="0.2">
      <c r="B21" s="513" t="s">
        <v>482</v>
      </c>
      <c r="C21" s="646"/>
      <c r="D21" s="673"/>
      <c r="E21" s="673"/>
      <c r="F21" s="469"/>
      <c r="G21" s="469"/>
      <c r="H21" s="467"/>
      <c r="I21" s="670"/>
      <c r="J21" s="670"/>
      <c r="K21" s="661">
        <f>I21-J21</f>
        <v>0</v>
      </c>
      <c r="L21" s="670"/>
      <c r="M21" s="467"/>
      <c r="N21" s="472">
        <f>ABS(IF(F21=0,(G21*K21*M21),G21*M21))</f>
        <v>0</v>
      </c>
    </row>
    <row r="22" spans="2:28" ht="12" customHeight="1" x14ac:dyDescent="0.2">
      <c r="B22" s="563"/>
      <c r="C22" s="270"/>
      <c r="D22" s="674"/>
      <c r="E22" s="674"/>
      <c r="F22" s="674"/>
      <c r="G22" s="674"/>
      <c r="H22" s="674"/>
      <c r="I22" s="674"/>
      <c r="J22" s="674"/>
      <c r="K22" s="674"/>
      <c r="L22" s="674"/>
      <c r="M22" s="459" t="s">
        <v>3614</v>
      </c>
      <c r="N22" s="472">
        <f>N20+N21</f>
        <v>0</v>
      </c>
      <c r="P22" s="2207" t="s">
        <v>2933</v>
      </c>
      <c r="Q22" s="2208"/>
      <c r="R22" s="2208"/>
      <c r="S22" s="2208"/>
      <c r="T22" s="2208"/>
    </row>
    <row r="23" spans="2:28" ht="12" customHeight="1" x14ac:dyDescent="0.2">
      <c r="B23" s="192" t="s">
        <v>3613</v>
      </c>
      <c r="C23" s="269"/>
      <c r="D23" s="674"/>
      <c r="E23" s="674"/>
      <c r="F23" s="674"/>
      <c r="G23" s="674"/>
      <c r="H23" s="674"/>
      <c r="I23" s="674"/>
      <c r="J23" s="674"/>
      <c r="K23" s="674"/>
      <c r="L23" s="674"/>
      <c r="M23" s="459"/>
      <c r="N23" s="675"/>
      <c r="P23" s="2208"/>
      <c r="Q23" s="2208"/>
      <c r="R23" s="2208"/>
      <c r="S23" s="2208"/>
      <c r="T23" s="2208"/>
    </row>
    <row r="24" spans="2:28" ht="12" customHeight="1" x14ac:dyDescent="0.2">
      <c r="B24" s="513" t="s">
        <v>483</v>
      </c>
      <c r="C24" s="646"/>
      <c r="D24" s="673"/>
      <c r="E24" s="673"/>
      <c r="F24" s="469"/>
      <c r="G24" s="469"/>
      <c r="H24" s="467"/>
      <c r="I24" s="670"/>
      <c r="J24" s="670"/>
      <c r="K24" s="661">
        <f>J24-I24</f>
        <v>0</v>
      </c>
      <c r="L24" s="670"/>
      <c r="M24" s="467"/>
      <c r="N24" s="472">
        <f>G24*K24*M24</f>
        <v>0</v>
      </c>
      <c r="P24" s="2208"/>
      <c r="Q24" s="2208"/>
      <c r="R24" s="2208"/>
      <c r="S24" s="2208"/>
      <c r="T24" s="2208"/>
    </row>
    <row r="25" spans="2:28" ht="12" customHeight="1" x14ac:dyDescent="0.2">
      <c r="B25" s="513" t="s">
        <v>484</v>
      </c>
      <c r="C25" s="646"/>
      <c r="D25" s="673"/>
      <c r="E25" s="673"/>
      <c r="F25" s="469"/>
      <c r="G25" s="469"/>
      <c r="H25" s="467"/>
      <c r="I25" s="670"/>
      <c r="J25" s="670"/>
      <c r="K25" s="661">
        <f>J25-I25</f>
        <v>0</v>
      </c>
      <c r="L25" s="670"/>
      <c r="M25" s="467"/>
      <c r="N25" s="472">
        <f>G25*K25*M25</f>
        <v>0</v>
      </c>
      <c r="P25" s="2208"/>
      <c r="Q25" s="2208"/>
      <c r="R25" s="2208"/>
      <c r="S25" s="2208"/>
      <c r="T25" s="2208"/>
    </row>
    <row r="26" spans="2:28" ht="12" customHeight="1" x14ac:dyDescent="0.2">
      <c r="B26" s="563"/>
      <c r="C26" s="270"/>
      <c r="D26" s="674"/>
      <c r="E26" s="674"/>
      <c r="F26" s="674"/>
      <c r="G26" s="674"/>
      <c r="H26" s="674"/>
      <c r="I26" s="674"/>
      <c r="J26" s="674"/>
      <c r="K26" s="674"/>
      <c r="L26" s="674"/>
      <c r="M26" s="459" t="s">
        <v>3614</v>
      </c>
      <c r="N26" s="472">
        <f>N24+N25</f>
        <v>0</v>
      </c>
    </row>
    <row r="27" spans="2:28" ht="12" customHeight="1" x14ac:dyDescent="0.2">
      <c r="B27" s="623" t="s">
        <v>3076</v>
      </c>
      <c r="D27" s="480"/>
      <c r="E27" s="480"/>
      <c r="F27" s="480"/>
      <c r="G27" s="480"/>
      <c r="H27" s="480"/>
      <c r="I27" s="480"/>
      <c r="J27" s="480"/>
      <c r="K27" s="480"/>
      <c r="L27" s="480"/>
      <c r="M27" s="480"/>
      <c r="N27" s="283"/>
    </row>
    <row r="28" spans="2:28" ht="8.1" customHeight="1" x14ac:dyDescent="0.2">
      <c r="B28" s="644"/>
      <c r="C28" s="645"/>
      <c r="D28" s="645"/>
      <c r="E28" s="645"/>
      <c r="F28" s="645"/>
      <c r="G28" s="645"/>
      <c r="H28" s="645"/>
      <c r="I28" s="645"/>
      <c r="J28" s="645"/>
      <c r="K28" s="645"/>
      <c r="L28" s="645"/>
      <c r="M28" s="645"/>
      <c r="N28" s="271"/>
    </row>
    <row r="29" spans="2:28" ht="12" customHeight="1" x14ac:dyDescent="0.2">
      <c r="B29" s="2217" t="s">
        <v>3077</v>
      </c>
      <c r="C29" s="1616"/>
      <c r="D29" s="1616"/>
      <c r="E29" s="1616"/>
      <c r="F29" s="1616"/>
      <c r="G29" s="1616"/>
      <c r="H29" s="1616"/>
      <c r="I29" s="1616"/>
      <c r="J29" s="1616"/>
      <c r="K29" s="1616"/>
      <c r="L29" s="1616"/>
      <c r="M29" s="1616"/>
      <c r="N29" s="1360"/>
      <c r="P29" s="2209" t="s">
        <v>3725</v>
      </c>
      <c r="Q29" s="2210"/>
    </row>
    <row r="30" spans="2:28" ht="12" customHeight="1" x14ac:dyDescent="0.2">
      <c r="B30" s="2224" t="s">
        <v>2931</v>
      </c>
      <c r="C30" s="2225"/>
      <c r="D30" s="2225"/>
      <c r="E30" s="2225"/>
      <c r="F30" s="2225"/>
      <c r="G30" s="2225"/>
      <c r="H30" s="2225"/>
      <c r="I30" s="2225"/>
      <c r="J30" s="2225"/>
      <c r="K30" s="2225"/>
      <c r="L30" s="2225"/>
      <c r="M30" s="2225"/>
      <c r="N30" s="2226"/>
      <c r="P30" s="2214" t="s">
        <v>3724</v>
      </c>
      <c r="Q30" s="2215"/>
    </row>
    <row r="31" spans="2:28" ht="12" customHeight="1" x14ac:dyDescent="0.2">
      <c r="B31" s="623" t="s">
        <v>2333</v>
      </c>
      <c r="C31" s="480"/>
      <c r="D31" s="219"/>
      <c r="E31" s="2217" t="s">
        <v>3861</v>
      </c>
      <c r="F31" s="2227"/>
      <c r="G31" s="2228"/>
      <c r="H31" s="199" t="s">
        <v>2329</v>
      </c>
      <c r="I31" s="199" t="s">
        <v>2327</v>
      </c>
      <c r="J31" s="199" t="s">
        <v>2326</v>
      </c>
      <c r="K31" s="199" t="s">
        <v>3081</v>
      </c>
      <c r="L31" s="199" t="s">
        <v>3082</v>
      </c>
      <c r="M31" s="199" t="s">
        <v>3081</v>
      </c>
      <c r="N31" s="199" t="s">
        <v>3078</v>
      </c>
      <c r="P31" s="810" t="s">
        <v>3723</v>
      </c>
      <c r="Q31" s="200" t="s">
        <v>2228</v>
      </c>
    </row>
    <row r="32" spans="2:28" ht="12" customHeight="1" x14ac:dyDescent="0.2">
      <c r="B32" s="471" t="s">
        <v>2334</v>
      </c>
      <c r="C32" s="228"/>
      <c r="D32" s="181"/>
      <c r="E32" s="2118" t="s">
        <v>3862</v>
      </c>
      <c r="F32" s="2119"/>
      <c r="G32" s="2120"/>
      <c r="H32" s="201" t="s">
        <v>2330</v>
      </c>
      <c r="I32" s="201" t="s">
        <v>1053</v>
      </c>
      <c r="J32" s="201" t="s">
        <v>1053</v>
      </c>
      <c r="K32" s="201" t="s">
        <v>3084</v>
      </c>
      <c r="L32" s="201" t="s">
        <v>1053</v>
      </c>
      <c r="M32" s="201" t="s">
        <v>1053</v>
      </c>
      <c r="N32" s="201" t="s">
        <v>3079</v>
      </c>
      <c r="P32" s="201" t="s">
        <v>1749</v>
      </c>
      <c r="Q32" s="836" t="s">
        <v>1055</v>
      </c>
    </row>
    <row r="33" spans="2:21" ht="12" customHeight="1" x14ac:dyDescent="0.2">
      <c r="B33" s="471" t="s">
        <v>2335</v>
      </c>
      <c r="C33" s="228"/>
      <c r="D33" s="181"/>
      <c r="E33" s="2118" t="s">
        <v>2331</v>
      </c>
      <c r="F33" s="2119"/>
      <c r="G33" s="2120"/>
      <c r="H33" s="201" t="s">
        <v>1179</v>
      </c>
      <c r="I33" s="201" t="s">
        <v>1059</v>
      </c>
      <c r="J33" s="201" t="s">
        <v>1059</v>
      </c>
      <c r="K33" s="201" t="s">
        <v>3513</v>
      </c>
      <c r="L33" s="201" t="s">
        <v>3083</v>
      </c>
      <c r="M33" s="201" t="s">
        <v>1179</v>
      </c>
      <c r="N33" s="201" t="s">
        <v>1053</v>
      </c>
      <c r="P33" s="837">
        <f>SUM('Form N1'!O10:O48)+'Form N1'!O50</f>
        <v>0</v>
      </c>
      <c r="Q33" s="837" t="e">
        <f>'Form N1'!O55+'Form N1'!P55</f>
        <v>#DIV/0!</v>
      </c>
      <c r="R33" s="941" t="s">
        <v>2929</v>
      </c>
      <c r="T33" s="835"/>
      <c r="U33" s="835"/>
    </row>
    <row r="34" spans="2:21" ht="12" customHeight="1" x14ac:dyDescent="0.2">
      <c r="B34" s="471" t="s">
        <v>460</v>
      </c>
      <c r="C34" s="228"/>
      <c r="D34" s="181"/>
      <c r="H34" s="201"/>
      <c r="I34" s="201" t="s">
        <v>1180</v>
      </c>
      <c r="J34" s="201" t="s">
        <v>1180</v>
      </c>
      <c r="K34" s="201" t="s">
        <v>2324</v>
      </c>
      <c r="L34" s="201" t="s">
        <v>1179</v>
      </c>
      <c r="M34" s="201"/>
      <c r="N34" s="201" t="s">
        <v>1180</v>
      </c>
      <c r="P34" s="493">
        <f>P33</f>
        <v>0</v>
      </c>
      <c r="Q34" s="493" t="e">
        <f>Q33</f>
        <v>#DIV/0!</v>
      </c>
      <c r="R34" s="942" t="s">
        <v>2930</v>
      </c>
    </row>
    <row r="35" spans="2:21" ht="12" customHeight="1" x14ac:dyDescent="0.2">
      <c r="B35" s="471" t="s">
        <v>461</v>
      </c>
      <c r="C35" s="228"/>
      <c r="D35" s="181"/>
      <c r="E35" s="943" t="s">
        <v>2327</v>
      </c>
      <c r="F35" s="944" t="s">
        <v>2332</v>
      </c>
      <c r="G35" s="944" t="s">
        <v>415</v>
      </c>
      <c r="H35" s="186"/>
      <c r="I35" s="186" t="s">
        <v>2328</v>
      </c>
      <c r="J35" s="186" t="s">
        <v>3080</v>
      </c>
      <c r="K35" s="186" t="s">
        <v>2325</v>
      </c>
      <c r="L35" s="186"/>
      <c r="M35" s="186"/>
      <c r="N35" s="186" t="s">
        <v>3080</v>
      </c>
      <c r="P35" s="941" t="s">
        <v>2934</v>
      </c>
    </row>
    <row r="36" spans="2:21" ht="12" customHeight="1" x14ac:dyDescent="0.2">
      <c r="B36" s="471"/>
      <c r="C36" s="228"/>
      <c r="D36" s="947" t="s">
        <v>3121</v>
      </c>
      <c r="E36" s="680">
        <v>1</v>
      </c>
      <c r="F36" s="613"/>
      <c r="G36" s="613">
        <v>1</v>
      </c>
      <c r="H36" s="2218">
        <f>P34</f>
        <v>0</v>
      </c>
      <c r="I36" s="2220">
        <f>IF(Q46=0,Q54,Q46)</f>
        <v>0</v>
      </c>
      <c r="J36" s="2121">
        <f>IF(R46=0,R54,R46)</f>
        <v>0</v>
      </c>
      <c r="K36" s="945" t="s">
        <v>3778</v>
      </c>
      <c r="L36" s="2218" t="e">
        <f>Q34</f>
        <v>#DIV/0!</v>
      </c>
      <c r="M36" s="2121" t="e">
        <f>IF(S46=0,S54,S46)</f>
        <v>#DIV/0!</v>
      </c>
      <c r="N36" s="2121" t="e">
        <f>R54+S54</f>
        <v>#DIV/0!</v>
      </c>
    </row>
    <row r="37" spans="2:21" ht="12" customHeight="1" x14ac:dyDescent="0.2">
      <c r="B37" s="623"/>
      <c r="C37" s="480"/>
      <c r="D37" s="572"/>
      <c r="E37" s="2113"/>
      <c r="F37" s="2114"/>
      <c r="G37" s="2115"/>
      <c r="H37" s="2219"/>
      <c r="I37" s="1343"/>
      <c r="J37" s="1347"/>
      <c r="K37" s="934"/>
      <c r="L37" s="2222"/>
      <c r="M37" s="1347"/>
      <c r="N37" s="1347"/>
      <c r="Q37" s="2113" t="s">
        <v>2515</v>
      </c>
      <c r="R37" s="2114"/>
      <c r="S37" s="2114"/>
      <c r="T37" s="1350"/>
    </row>
    <row r="38" spans="2:21" ht="12" customHeight="1" x14ac:dyDescent="0.2">
      <c r="B38" s="471"/>
      <c r="C38" s="228"/>
      <c r="D38" s="284" t="s">
        <v>3122</v>
      </c>
      <c r="E38" s="676"/>
      <c r="F38" s="670"/>
      <c r="G38" s="670"/>
      <c r="H38" s="1347"/>
      <c r="I38" s="1343"/>
      <c r="J38" s="1347"/>
      <c r="K38" s="935" t="s">
        <v>2516</v>
      </c>
      <c r="L38" s="2222"/>
      <c r="M38" s="1347"/>
      <c r="N38" s="1347"/>
      <c r="P38" s="181"/>
      <c r="Q38" s="283" t="s">
        <v>2327</v>
      </c>
      <c r="R38" s="199" t="s">
        <v>2332</v>
      </c>
      <c r="S38" s="199" t="s">
        <v>415</v>
      </c>
      <c r="T38" s="199" t="s">
        <v>3081</v>
      </c>
    </row>
    <row r="39" spans="2:21" ht="12" customHeight="1" x14ac:dyDescent="0.2">
      <c r="B39" s="192"/>
      <c r="C39" s="479"/>
      <c r="D39" s="783" t="s">
        <v>2932</v>
      </c>
      <c r="E39" s="467">
        <v>1</v>
      </c>
      <c r="F39" s="467">
        <v>1</v>
      </c>
      <c r="G39" s="467">
        <v>1</v>
      </c>
      <c r="H39" s="1957"/>
      <c r="I39" s="2221"/>
      <c r="J39" s="1957"/>
      <c r="K39" s="936"/>
      <c r="L39" s="2223"/>
      <c r="M39" s="1957"/>
      <c r="N39" s="1957"/>
      <c r="P39" s="284" t="s">
        <v>1922</v>
      </c>
      <c r="Q39" s="681">
        <f>2545*E36*E38/E39</f>
        <v>0</v>
      </c>
      <c r="R39" s="681">
        <f>2545*F36*F38/F39</f>
        <v>0</v>
      </c>
      <c r="S39" s="681">
        <f>2545*G36*G38/G39</f>
        <v>0</v>
      </c>
      <c r="T39" s="812" t="e">
        <f>K39*L36</f>
        <v>#DIV/0!</v>
      </c>
    </row>
    <row r="40" spans="2:21" ht="12" customHeight="1" x14ac:dyDescent="0.2">
      <c r="B40" s="471" t="s">
        <v>3859</v>
      </c>
      <c r="D40" s="228"/>
      <c r="E40" s="480"/>
      <c r="F40" s="480"/>
      <c r="G40" s="480"/>
      <c r="H40" s="480"/>
      <c r="I40" s="677">
        <f>0.05*H36</f>
        <v>0</v>
      </c>
      <c r="J40" s="678" t="s">
        <v>3860</v>
      </c>
      <c r="K40" s="480"/>
      <c r="L40" s="480"/>
      <c r="M40" s="480"/>
      <c r="N40" s="679">
        <f>I40/2</f>
        <v>0</v>
      </c>
      <c r="P40" s="284" t="s">
        <v>2514</v>
      </c>
      <c r="Q40" s="472">
        <f>I40</f>
        <v>0</v>
      </c>
      <c r="R40" s="472">
        <f>Q40</f>
        <v>0</v>
      </c>
      <c r="S40" s="472">
        <f>N40</f>
        <v>0</v>
      </c>
      <c r="T40" s="472" t="e">
        <f>0.01*L36</f>
        <v>#DIV/0!</v>
      </c>
    </row>
    <row r="41" spans="2:21" ht="12" customHeight="1" x14ac:dyDescent="0.2">
      <c r="B41" s="471" t="s">
        <v>1716</v>
      </c>
      <c r="D41" s="228"/>
      <c r="E41" s="228"/>
      <c r="F41" s="228"/>
      <c r="G41" s="228"/>
      <c r="H41" s="228"/>
      <c r="I41" s="228"/>
      <c r="J41" s="228"/>
      <c r="K41" s="228"/>
      <c r="L41" s="228"/>
      <c r="M41" s="228"/>
      <c r="N41" s="213"/>
      <c r="Q41" s="2216"/>
      <c r="R41" s="2216"/>
      <c r="S41" s="2198"/>
      <c r="T41" s="2198"/>
    </row>
    <row r="42" spans="2:21" ht="12" customHeight="1" x14ac:dyDescent="0.2">
      <c r="B42" s="471" t="s">
        <v>3120</v>
      </c>
      <c r="D42" s="228"/>
      <c r="E42" s="228"/>
      <c r="F42" s="228"/>
      <c r="G42" s="228"/>
      <c r="H42" s="228"/>
      <c r="I42" s="228"/>
      <c r="J42" s="228"/>
      <c r="K42" s="228"/>
      <c r="L42" s="228"/>
      <c r="M42" s="228"/>
      <c r="N42" s="213"/>
      <c r="Q42" s="208"/>
      <c r="R42" s="965"/>
      <c r="S42" s="208"/>
      <c r="T42" s="208"/>
      <c r="U42" s="792"/>
    </row>
    <row r="43" spans="2:21" ht="8.1" customHeight="1" x14ac:dyDescent="0.2">
      <c r="B43" s="563"/>
      <c r="C43" s="645"/>
      <c r="D43" s="645"/>
      <c r="E43" s="645"/>
      <c r="F43" s="645"/>
      <c r="G43" s="645"/>
      <c r="H43" s="645"/>
      <c r="I43" s="645"/>
      <c r="J43" s="645"/>
      <c r="K43" s="645"/>
      <c r="L43" s="645"/>
      <c r="M43" s="645"/>
      <c r="N43" s="271"/>
      <c r="S43" s="792"/>
      <c r="T43" s="792"/>
      <c r="U43" s="792"/>
    </row>
    <row r="44" spans="2:21" ht="12" customHeight="1" x14ac:dyDescent="0.2">
      <c r="B44" s="2113" t="s">
        <v>1434</v>
      </c>
      <c r="C44" s="1314"/>
      <c r="D44" s="1314"/>
      <c r="E44" s="1314"/>
      <c r="F44" s="1314"/>
      <c r="G44" s="1314"/>
      <c r="H44" s="1314"/>
      <c r="I44" s="1314"/>
      <c r="J44" s="1314"/>
      <c r="K44" s="1314"/>
      <c r="L44" s="1314"/>
      <c r="M44" s="1314"/>
      <c r="N44" s="1315"/>
      <c r="Q44" s="2176" t="s">
        <v>1061</v>
      </c>
      <c r="R44" s="2176"/>
      <c r="S44" s="2195" t="s">
        <v>1068</v>
      </c>
      <c r="T44" s="2196"/>
      <c r="U44" s="792"/>
    </row>
    <row r="45" spans="2:21" ht="12" customHeight="1" x14ac:dyDescent="0.2">
      <c r="B45" s="2211" t="s">
        <v>1287</v>
      </c>
      <c r="C45" s="2212"/>
      <c r="D45" s="2212"/>
      <c r="E45" s="2212"/>
      <c r="F45" s="2212"/>
      <c r="G45" s="2212"/>
      <c r="H45" s="2212"/>
      <c r="I45" s="2212"/>
      <c r="J45" s="2212"/>
      <c r="K45" s="2212"/>
      <c r="L45" s="2212"/>
      <c r="M45" s="2213"/>
      <c r="N45" s="858"/>
      <c r="Q45" s="513" t="s">
        <v>2327</v>
      </c>
      <c r="R45" s="513" t="s">
        <v>2326</v>
      </c>
      <c r="S45" s="2127" t="s">
        <v>1179</v>
      </c>
      <c r="T45" s="1362"/>
      <c r="U45" s="792"/>
    </row>
    <row r="46" spans="2:21" ht="12" customHeight="1" x14ac:dyDescent="0.2">
      <c r="B46" s="623" t="s">
        <v>426</v>
      </c>
      <c r="C46" s="480"/>
      <c r="D46" s="480"/>
      <c r="E46" s="199" t="s">
        <v>490</v>
      </c>
      <c r="F46" s="199" t="s">
        <v>1173</v>
      </c>
      <c r="G46" s="199" t="s">
        <v>1173</v>
      </c>
      <c r="H46" s="199" t="s">
        <v>423</v>
      </c>
      <c r="I46" s="199" t="s">
        <v>422</v>
      </c>
      <c r="J46" s="199" t="s">
        <v>3947</v>
      </c>
      <c r="K46" s="199" t="s">
        <v>1427</v>
      </c>
      <c r="L46" s="199" t="s">
        <v>420</v>
      </c>
      <c r="M46" s="199" t="s">
        <v>387</v>
      </c>
      <c r="N46" s="199" t="s">
        <v>1750</v>
      </c>
      <c r="Q46" s="961"/>
      <c r="R46" s="961"/>
      <c r="S46" s="2193"/>
      <c r="T46" s="2194"/>
      <c r="U46" s="176"/>
    </row>
    <row r="47" spans="2:21" ht="12" customHeight="1" x14ac:dyDescent="0.2">
      <c r="B47" s="471" t="s">
        <v>421</v>
      </c>
      <c r="C47" s="228"/>
      <c r="D47" s="228"/>
      <c r="E47" s="201" t="s">
        <v>489</v>
      </c>
      <c r="F47" s="201" t="s">
        <v>1178</v>
      </c>
      <c r="G47" s="201" t="s">
        <v>425</v>
      </c>
      <c r="H47" s="201" t="s">
        <v>424</v>
      </c>
      <c r="I47" s="201" t="s">
        <v>2806</v>
      </c>
      <c r="J47" s="201" t="s">
        <v>948</v>
      </c>
      <c r="K47" s="201" t="s">
        <v>948</v>
      </c>
      <c r="L47" s="201" t="s">
        <v>859</v>
      </c>
      <c r="M47" s="784" t="s">
        <v>3780</v>
      </c>
      <c r="N47" s="201" t="s">
        <v>1435</v>
      </c>
      <c r="Q47" s="216" t="s">
        <v>1065</v>
      </c>
      <c r="R47" s="218"/>
      <c r="S47" s="964"/>
      <c r="T47" s="219"/>
      <c r="U47" s="792"/>
    </row>
    <row r="48" spans="2:21" ht="12" customHeight="1" x14ac:dyDescent="0.2">
      <c r="B48" s="192"/>
      <c r="C48" s="479"/>
      <c r="D48" s="479"/>
      <c r="E48" s="186"/>
      <c r="F48" s="186" t="s">
        <v>1301</v>
      </c>
      <c r="G48" s="186" t="s">
        <v>1301</v>
      </c>
      <c r="H48" s="186" t="s">
        <v>2806</v>
      </c>
      <c r="I48" s="186"/>
      <c r="J48" s="186" t="s">
        <v>2806</v>
      </c>
      <c r="K48" s="186" t="s">
        <v>2806</v>
      </c>
      <c r="L48" s="186" t="s">
        <v>421</v>
      </c>
      <c r="M48" s="785">
        <f>'Wrk A'!K25</f>
        <v>-32</v>
      </c>
      <c r="N48" s="186" t="s">
        <v>860</v>
      </c>
      <c r="Q48" s="179" t="s">
        <v>1064</v>
      </c>
      <c r="R48" s="180"/>
      <c r="S48" s="180"/>
      <c r="T48" s="181"/>
      <c r="U48" s="792"/>
    </row>
    <row r="49" spans="2:21" ht="12" customHeight="1" x14ac:dyDescent="0.2">
      <c r="B49" s="563" t="s">
        <v>427</v>
      </c>
      <c r="C49" s="63"/>
      <c r="D49" s="63"/>
      <c r="E49" s="63"/>
      <c r="F49" s="63"/>
      <c r="G49" s="63"/>
      <c r="H49" s="63"/>
      <c r="I49" s="63"/>
      <c r="J49" s="63"/>
      <c r="N49" s="409"/>
      <c r="Q49" s="220" t="s">
        <v>1066</v>
      </c>
      <c r="R49" s="221"/>
      <c r="S49" s="221"/>
      <c r="T49" s="222"/>
      <c r="U49" s="792"/>
    </row>
    <row r="50" spans="2:21" ht="12" customHeight="1" x14ac:dyDescent="0.2">
      <c r="B50" s="513" t="s">
        <v>481</v>
      </c>
      <c r="C50" s="633"/>
      <c r="D50" s="673"/>
      <c r="E50" s="957"/>
      <c r="F50" s="670"/>
      <c r="G50" s="670"/>
      <c r="H50" s="670"/>
      <c r="I50" s="670"/>
      <c r="J50" s="472">
        <f>IF(H50&gt;0,H50,F50*G50)</f>
        <v>0</v>
      </c>
      <c r="K50" s="472">
        <f>J50-I50</f>
        <v>0</v>
      </c>
      <c r="L50" s="571"/>
      <c r="M50" s="670"/>
      <c r="N50" s="472">
        <f>(K50/100)*L50*M50</f>
        <v>0</v>
      </c>
      <c r="U50" s="792"/>
    </row>
    <row r="51" spans="2:21" ht="12" customHeight="1" x14ac:dyDescent="0.2">
      <c r="B51" s="513" t="s">
        <v>482</v>
      </c>
      <c r="C51" s="660"/>
      <c r="D51" s="673"/>
      <c r="E51" s="957"/>
      <c r="F51" s="670"/>
      <c r="G51" s="670"/>
      <c r="H51" s="670"/>
      <c r="I51" s="670"/>
      <c r="J51" s="472">
        <f>IF(H51&gt;0,H51,F51*G51)</f>
        <v>0</v>
      </c>
      <c r="K51" s="472">
        <f>J51-I51</f>
        <v>0</v>
      </c>
      <c r="L51" s="571"/>
      <c r="M51" s="670"/>
      <c r="N51" s="472">
        <f>(K51/100)*L51*M51</f>
        <v>0</v>
      </c>
      <c r="Q51" s="2113" t="s">
        <v>1067</v>
      </c>
      <c r="R51" s="1314"/>
      <c r="S51" s="1314"/>
      <c r="T51" s="1315"/>
      <c r="U51" s="792"/>
    </row>
    <row r="52" spans="2:21" ht="12" customHeight="1" x14ac:dyDescent="0.2">
      <c r="B52" s="513" t="s">
        <v>483</v>
      </c>
      <c r="C52" s="660"/>
      <c r="D52" s="673"/>
      <c r="E52" s="566"/>
      <c r="F52" s="670"/>
      <c r="G52" s="670"/>
      <c r="H52" s="670"/>
      <c r="I52" s="670"/>
      <c r="J52" s="472">
        <f>IF(H52&gt;0,H52,F52*G52)</f>
        <v>0</v>
      </c>
      <c r="K52" s="472">
        <f>J52-I52</f>
        <v>0</v>
      </c>
      <c r="L52" s="571"/>
      <c r="M52" s="670"/>
      <c r="N52" s="472">
        <f>(K52/100)*L52*M52</f>
        <v>0</v>
      </c>
      <c r="Q52" s="2176" t="s">
        <v>1062</v>
      </c>
      <c r="R52" s="2176"/>
      <c r="S52" s="2195" t="s">
        <v>1063</v>
      </c>
      <c r="T52" s="2196"/>
      <c r="U52" s="792"/>
    </row>
    <row r="53" spans="2:21" ht="12" customHeight="1" x14ac:dyDescent="0.2">
      <c r="B53" s="2197" t="s">
        <v>3816</v>
      </c>
      <c r="C53" s="1605"/>
      <c r="D53" s="1605"/>
      <c r="E53" s="1605"/>
      <c r="F53" s="1605"/>
      <c r="G53" s="1605"/>
      <c r="H53" s="1605"/>
      <c r="I53" s="1605"/>
      <c r="J53" s="1605"/>
      <c r="K53" s="1605"/>
      <c r="L53" s="1605"/>
      <c r="M53" s="1605"/>
      <c r="N53" s="1961"/>
      <c r="Q53" s="513" t="s">
        <v>2327</v>
      </c>
      <c r="R53" s="513" t="s">
        <v>2326</v>
      </c>
      <c r="S53" s="220"/>
      <c r="T53" s="222"/>
      <c r="U53" s="792"/>
    </row>
    <row r="54" spans="2:21" ht="12" customHeight="1" x14ac:dyDescent="0.2">
      <c r="B54" s="513" t="s">
        <v>485</v>
      </c>
      <c r="C54" s="660"/>
      <c r="D54" s="673"/>
      <c r="E54" s="566"/>
      <c r="F54" s="670"/>
      <c r="G54" s="670"/>
      <c r="H54" s="670"/>
      <c r="I54" s="670"/>
      <c r="J54" s="472">
        <f>IF(H54&gt;0,H54,F54*G54)</f>
        <v>0</v>
      </c>
      <c r="K54" s="472">
        <f>J54-I54</f>
        <v>0</v>
      </c>
      <c r="L54" s="571"/>
      <c r="M54" s="670"/>
      <c r="N54" s="472">
        <f>(K54/100)*L54*M54</f>
        <v>0</v>
      </c>
      <c r="Q54" s="963">
        <f>IF(E38&gt;0,Q39,Q40)*E36</f>
        <v>0</v>
      </c>
      <c r="R54" s="962">
        <f>IF(F38&gt;0,R39,R40)*F36+IF(G38&gt;0,S39,S40)*G36</f>
        <v>0</v>
      </c>
      <c r="S54" s="2192" t="e">
        <f>IF(K39&gt;0,T39,T40)*K37</f>
        <v>#DIV/0!</v>
      </c>
      <c r="T54" s="1315"/>
      <c r="U54" s="792"/>
    </row>
    <row r="55" spans="2:21" ht="12" customHeight="1" x14ac:dyDescent="0.2">
      <c r="B55" s="513" t="s">
        <v>486</v>
      </c>
      <c r="C55" s="660"/>
      <c r="D55" s="673"/>
      <c r="E55" s="566"/>
      <c r="F55" s="670"/>
      <c r="G55" s="670"/>
      <c r="H55" s="670"/>
      <c r="I55" s="670"/>
      <c r="J55" s="472">
        <f>IF(H55&gt;0,H55,F55*G55)</f>
        <v>0</v>
      </c>
      <c r="K55" s="472">
        <f>J55-I55</f>
        <v>0</v>
      </c>
      <c r="L55" s="571"/>
      <c r="M55" s="670"/>
      <c r="N55" s="472">
        <f>(K55/100)*L55*M55</f>
        <v>0</v>
      </c>
      <c r="U55" s="792"/>
    </row>
    <row r="56" spans="2:21" ht="12" customHeight="1" x14ac:dyDescent="0.2">
      <c r="B56" s="2197" t="s">
        <v>712</v>
      </c>
      <c r="C56" s="1605"/>
      <c r="D56" s="1605"/>
      <c r="E56" s="1605"/>
      <c r="F56" s="1605"/>
      <c r="G56" s="1605"/>
      <c r="H56" s="1605"/>
      <c r="I56" s="1605"/>
      <c r="J56" s="1605"/>
      <c r="K56" s="1605"/>
      <c r="L56" s="1605"/>
      <c r="M56" s="1605"/>
      <c r="N56" s="1961"/>
    </row>
    <row r="57" spans="2:21" ht="12" customHeight="1" x14ac:dyDescent="0.2">
      <c r="B57" s="513" t="s">
        <v>487</v>
      </c>
      <c r="C57" s="660"/>
      <c r="D57" s="673"/>
      <c r="E57" s="588"/>
      <c r="F57" s="670"/>
      <c r="G57" s="670"/>
      <c r="H57" s="670"/>
      <c r="I57" s="670"/>
      <c r="J57" s="472">
        <f>IF(H57&gt;0,H57,F57*G57)</f>
        <v>0</v>
      </c>
      <c r="K57" s="472">
        <f>J57-I57</f>
        <v>0</v>
      </c>
      <c r="L57" s="571"/>
      <c r="M57" s="670"/>
      <c r="N57" s="472">
        <f>(K57/100)*L57*M57</f>
        <v>0</v>
      </c>
      <c r="U57" s="185"/>
    </row>
    <row r="58" spans="2:21" ht="12" customHeight="1" x14ac:dyDescent="0.2">
      <c r="B58" s="513" t="s">
        <v>488</v>
      </c>
      <c r="C58" s="660"/>
      <c r="D58" s="673"/>
      <c r="E58" s="566"/>
      <c r="F58" s="670"/>
      <c r="G58" s="670"/>
      <c r="H58" s="670"/>
      <c r="I58" s="670"/>
      <c r="J58" s="472">
        <f>IF(H58&gt;0,H58,F58*G58)</f>
        <v>0</v>
      </c>
      <c r="K58" s="472">
        <f>J58-I58</f>
        <v>0</v>
      </c>
      <c r="L58" s="571"/>
      <c r="M58" s="670"/>
      <c r="N58" s="472">
        <f>(K58/100)*L58*M58</f>
        <v>0</v>
      </c>
    </row>
    <row r="59" spans="2:21" ht="12" customHeight="1" x14ac:dyDescent="0.2">
      <c r="B59" s="2197" t="s">
        <v>3505</v>
      </c>
      <c r="C59" s="1605"/>
      <c r="D59" s="1605"/>
      <c r="E59" s="1605"/>
      <c r="F59" s="1605"/>
      <c r="G59" s="1605"/>
      <c r="H59" s="1605"/>
      <c r="I59" s="1605"/>
      <c r="J59" s="1605"/>
      <c r="K59" s="1605"/>
      <c r="L59" s="1605"/>
      <c r="M59" s="1605"/>
      <c r="N59" s="1961"/>
    </row>
    <row r="60" spans="2:21" ht="12" customHeight="1" x14ac:dyDescent="0.2">
      <c r="B60" s="513" t="s">
        <v>2092</v>
      </c>
      <c r="C60" s="660"/>
      <c r="D60" s="673"/>
      <c r="E60" s="566"/>
      <c r="F60" s="670"/>
      <c r="G60" s="670"/>
      <c r="H60" s="670"/>
      <c r="I60" s="670"/>
      <c r="J60" s="472">
        <f>IF(H60&gt;0,H60,F60*G60)</f>
        <v>0</v>
      </c>
      <c r="K60" s="472">
        <f>J60-I60</f>
        <v>0</v>
      </c>
      <c r="L60" s="571"/>
      <c r="M60" s="670"/>
      <c r="N60" s="472">
        <f>(K60/100)*L60*M60</f>
        <v>0</v>
      </c>
    </row>
    <row r="61" spans="2:21" ht="12" customHeight="1" x14ac:dyDescent="0.2">
      <c r="B61" s="513" t="s">
        <v>2093</v>
      </c>
      <c r="C61" s="660"/>
      <c r="D61" s="673"/>
      <c r="E61" s="566"/>
      <c r="F61" s="670"/>
      <c r="G61" s="670"/>
      <c r="H61" s="670"/>
      <c r="I61" s="670"/>
      <c r="J61" s="472">
        <f>IF(H61&gt;0,H61,F61*G61)</f>
        <v>0</v>
      </c>
      <c r="K61" s="472">
        <f>J61-I61</f>
        <v>0</v>
      </c>
      <c r="L61" s="571"/>
      <c r="M61" s="670"/>
      <c r="N61" s="472">
        <f>(K61/100)*L61*M61</f>
        <v>0</v>
      </c>
    </row>
    <row r="62" spans="2:21" ht="12" customHeight="1" x14ac:dyDescent="0.2">
      <c r="B62" s="2197" t="s">
        <v>1420</v>
      </c>
      <c r="C62" s="1605"/>
      <c r="D62" s="1605"/>
      <c r="E62" s="1605"/>
      <c r="F62" s="1605"/>
      <c r="G62" s="1605"/>
      <c r="H62" s="1605"/>
      <c r="I62" s="1605"/>
      <c r="J62" s="1605"/>
      <c r="K62" s="1605"/>
      <c r="L62" s="1605"/>
      <c r="M62" s="1605"/>
      <c r="N62" s="1961"/>
    </row>
    <row r="63" spans="2:21" ht="12" customHeight="1" x14ac:dyDescent="0.2">
      <c r="B63" s="513" t="s">
        <v>3605</v>
      </c>
      <c r="C63" s="660"/>
      <c r="D63" s="673"/>
      <c r="E63" s="566"/>
      <c r="F63" s="670"/>
      <c r="G63" s="670"/>
      <c r="H63" s="670"/>
      <c r="I63" s="670"/>
      <c r="J63" s="472">
        <f>IF(H63&gt;0,H63,F63*G63)</f>
        <v>0</v>
      </c>
      <c r="K63" s="472">
        <f>J63-I63</f>
        <v>0</v>
      </c>
      <c r="L63" s="571"/>
      <c r="M63" s="670"/>
      <c r="N63" s="472">
        <f>(K63/100)*L63*M63</f>
        <v>0</v>
      </c>
    </row>
    <row r="64" spans="2:21" ht="12" customHeight="1" x14ac:dyDescent="0.2">
      <c r="B64" s="513" t="s">
        <v>3606</v>
      </c>
      <c r="C64" s="660"/>
      <c r="D64" s="673"/>
      <c r="E64" s="566"/>
      <c r="F64" s="670"/>
      <c r="G64" s="670"/>
      <c r="H64" s="670"/>
      <c r="I64" s="670"/>
      <c r="J64" s="472">
        <f>IF(H64&gt;0,H64,F64*G64)</f>
        <v>0</v>
      </c>
      <c r="K64" s="472">
        <f>J64-I64</f>
        <v>0</v>
      </c>
      <c r="L64" s="571"/>
      <c r="M64" s="670"/>
      <c r="N64" s="472">
        <f>(K64/100)*L64*M64</f>
        <v>0</v>
      </c>
    </row>
    <row r="65" spans="2:14" ht="12" customHeight="1" x14ac:dyDescent="0.2">
      <c r="B65" s="2197" t="s">
        <v>3604</v>
      </c>
      <c r="C65" s="1605"/>
      <c r="D65" s="1605"/>
      <c r="E65" s="1605"/>
      <c r="F65" s="1605"/>
      <c r="G65" s="1605"/>
      <c r="H65" s="1605"/>
      <c r="I65" s="1605"/>
      <c r="J65" s="1605"/>
      <c r="K65" s="1605"/>
      <c r="L65" s="1605"/>
      <c r="M65" s="1605"/>
      <c r="N65" s="1961"/>
    </row>
    <row r="66" spans="2:14" ht="12" customHeight="1" x14ac:dyDescent="0.2">
      <c r="B66" s="513" t="s">
        <v>3607</v>
      </c>
      <c r="C66" s="660"/>
      <c r="D66" s="673"/>
      <c r="E66" s="566"/>
      <c r="F66" s="670"/>
      <c r="G66" s="670"/>
      <c r="H66" s="670"/>
      <c r="I66" s="670"/>
      <c r="J66" s="472">
        <f>IF(H66&gt;0,H66,F66*G66)</f>
        <v>0</v>
      </c>
      <c r="K66" s="472">
        <f>J66-I66</f>
        <v>0</v>
      </c>
      <c r="L66" s="571"/>
      <c r="M66" s="670"/>
      <c r="N66" s="472">
        <f>(K66/100)*L66*M66</f>
        <v>0</v>
      </c>
    </row>
    <row r="67" spans="2:14" ht="12" customHeight="1" x14ac:dyDescent="0.2">
      <c r="B67" s="513" t="s">
        <v>3608</v>
      </c>
      <c r="C67" s="660"/>
      <c r="D67" s="673"/>
      <c r="E67" s="566"/>
      <c r="F67" s="670"/>
      <c r="G67" s="670"/>
      <c r="H67" s="670"/>
      <c r="I67" s="670"/>
      <c r="J67" s="472">
        <f>IF(H67&gt;0,H67,F67*G67)</f>
        <v>0</v>
      </c>
      <c r="K67" s="472">
        <f>J67-I67</f>
        <v>0</v>
      </c>
      <c r="L67" s="571"/>
      <c r="M67" s="670"/>
      <c r="N67" s="472">
        <f>(K67/100)*L67*M67</f>
        <v>0</v>
      </c>
    </row>
    <row r="68" spans="2:14" ht="12" customHeight="1" x14ac:dyDescent="0.2">
      <c r="B68" s="563" t="s">
        <v>3779</v>
      </c>
      <c r="C68" s="306"/>
      <c r="D68" s="306"/>
      <c r="E68" s="306"/>
      <c r="F68" s="306"/>
      <c r="G68" s="306"/>
      <c r="H68" s="306"/>
      <c r="I68" s="306"/>
      <c r="J68" s="306"/>
      <c r="K68" s="306"/>
      <c r="L68" s="306"/>
      <c r="M68" s="48" t="s">
        <v>3609</v>
      </c>
      <c r="N68" s="285">
        <f>SUM(N50:N52)+N54+N55+N57+N58+N60+N61+N63+N64+N66+N67</f>
        <v>0</v>
      </c>
    </row>
    <row r="69" spans="2:14" ht="12" customHeight="1" x14ac:dyDescent="0.2">
      <c r="M69" s="669"/>
    </row>
  </sheetData>
  <mergeCells count="45">
    <mergeCell ref="P22:T25"/>
    <mergeCell ref="P29:Q29"/>
    <mergeCell ref="Q37:T37"/>
    <mergeCell ref="B45:M45"/>
    <mergeCell ref="P30:Q30"/>
    <mergeCell ref="Q41:R41"/>
    <mergeCell ref="B29:N29"/>
    <mergeCell ref="H36:H39"/>
    <mergeCell ref="I36:I39"/>
    <mergeCell ref="L36:L39"/>
    <mergeCell ref="B30:N30"/>
    <mergeCell ref="J36:J39"/>
    <mergeCell ref="E32:G32"/>
    <mergeCell ref="E37:G37"/>
    <mergeCell ref="M36:M39"/>
    <mergeCell ref="E31:G31"/>
    <mergeCell ref="B62:N62"/>
    <mergeCell ref="B65:N65"/>
    <mergeCell ref="B56:N56"/>
    <mergeCell ref="B59:N59"/>
    <mergeCell ref="B2:N2"/>
    <mergeCell ref="B3:N3"/>
    <mergeCell ref="B6:N6"/>
    <mergeCell ref="B8:D8"/>
    <mergeCell ref="E8:F8"/>
    <mergeCell ref="H8:I8"/>
    <mergeCell ref="J8:L8"/>
    <mergeCell ref="B9:C9"/>
    <mergeCell ref="B10:C10"/>
    <mergeCell ref="B14:N14"/>
    <mergeCell ref="B11:C11"/>
    <mergeCell ref="B12:N12"/>
    <mergeCell ref="S54:T54"/>
    <mergeCell ref="E33:G33"/>
    <mergeCell ref="B44:N44"/>
    <mergeCell ref="N36:N39"/>
    <mergeCell ref="S46:T46"/>
    <mergeCell ref="Q44:R44"/>
    <mergeCell ref="S44:T44"/>
    <mergeCell ref="S45:T45"/>
    <mergeCell ref="B53:N53"/>
    <mergeCell ref="Q52:R52"/>
    <mergeCell ref="S41:T41"/>
    <mergeCell ref="S52:T52"/>
    <mergeCell ref="Q51:T51"/>
  </mergeCells>
  <phoneticPr fontId="27" type="noConversion"/>
  <pageMargins left="0.75" right="0.75" top="1" bottom="1" header="0.5" footer="0.5"/>
  <pageSetup scale="8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7"/>
    <pageSetUpPr fitToPage="1"/>
  </sheetPr>
  <dimension ref="B3:J30"/>
  <sheetViews>
    <sheetView showGridLines="0" showRowColHeaders="0" tabSelected="1" workbookViewId="0"/>
  </sheetViews>
  <sheetFormatPr defaultColWidth="9.140625" defaultRowHeight="12.75" x14ac:dyDescent="0.2"/>
  <cols>
    <col min="1" max="1" width="3.5703125" style="1279" customWidth="1"/>
    <col min="2" max="16384" width="9.140625" style="1279"/>
  </cols>
  <sheetData>
    <row r="3" spans="2:4" x14ac:dyDescent="0.2">
      <c r="D3" s="1279" t="s">
        <v>2231</v>
      </c>
    </row>
    <row r="4" spans="2:4" x14ac:dyDescent="0.2">
      <c r="D4" s="1279" t="s">
        <v>2237</v>
      </c>
    </row>
    <row r="6" spans="2:4" x14ac:dyDescent="0.2">
      <c r="B6" s="1279" t="s">
        <v>2229</v>
      </c>
    </row>
    <row r="7" spans="2:4" x14ac:dyDescent="0.2">
      <c r="B7" s="1279" t="s">
        <v>1610</v>
      </c>
    </row>
    <row r="9" spans="2:4" x14ac:dyDescent="0.2">
      <c r="B9" s="1279" t="s">
        <v>2230</v>
      </c>
    </row>
    <row r="11" spans="2:4" x14ac:dyDescent="0.2">
      <c r="B11" s="1279" t="s">
        <v>2232</v>
      </c>
    </row>
    <row r="12" spans="2:4" x14ac:dyDescent="0.2">
      <c r="B12" s="1279" t="s">
        <v>2233</v>
      </c>
    </row>
    <row r="13" spans="2:4" x14ac:dyDescent="0.2">
      <c r="B13" s="1280" t="s">
        <v>2234</v>
      </c>
    </row>
    <row r="14" spans="2:4" x14ac:dyDescent="0.2">
      <c r="B14" s="1279" t="s">
        <v>2235</v>
      </c>
    </row>
    <row r="16" spans="2:4" x14ac:dyDescent="0.2">
      <c r="B16" s="1279" t="s">
        <v>2236</v>
      </c>
    </row>
    <row r="17" spans="2:10" x14ac:dyDescent="0.2">
      <c r="B17" s="1279" t="s">
        <v>1917</v>
      </c>
    </row>
    <row r="19" spans="2:10" x14ac:dyDescent="0.2">
      <c r="B19" s="1279" t="s">
        <v>3062</v>
      </c>
    </row>
    <row r="20" spans="2:10" x14ac:dyDescent="0.2">
      <c r="B20" s="1279" t="s">
        <v>1611</v>
      </c>
    </row>
    <row r="22" spans="2:10" x14ac:dyDescent="0.2">
      <c r="B22" s="1279" t="s">
        <v>1613</v>
      </c>
    </row>
    <row r="23" spans="2:10" x14ac:dyDescent="0.2">
      <c r="B23" s="1279" t="s">
        <v>1612</v>
      </c>
    </row>
    <row r="25" spans="2:10" x14ac:dyDescent="0.2">
      <c r="B25" s="1279" t="s">
        <v>2238</v>
      </c>
    </row>
    <row r="26" spans="2:10" x14ac:dyDescent="0.2">
      <c r="B26" s="1279" t="s">
        <v>2239</v>
      </c>
    </row>
    <row r="28" spans="2:10" x14ac:dyDescent="0.2">
      <c r="B28" s="1279" t="s">
        <v>3931</v>
      </c>
      <c r="I28" s="1400" t="s">
        <v>1614</v>
      </c>
      <c r="J28" s="1400"/>
    </row>
    <row r="29" spans="2:10" x14ac:dyDescent="0.2">
      <c r="B29" s="1279" t="s">
        <v>1615</v>
      </c>
    </row>
    <row r="30" spans="2:10" x14ac:dyDescent="0.2">
      <c r="B30" s="1279" t="s">
        <v>3932</v>
      </c>
    </row>
  </sheetData>
  <sheetProtection password="CA39" sheet="1" objects="1" scenarios="1"/>
  <mergeCells count="1">
    <mergeCell ref="I28:J28"/>
  </mergeCells>
  <phoneticPr fontId="2" type="noConversion"/>
  <hyperlinks>
    <hyperlink ref="I28" r:id="rId1" xr:uid="{00000000-0004-0000-0300-000000000000}"/>
  </hyperlinks>
  <pageMargins left="0.75" right="0.75" top="1" bottom="1" header="0.5" footer="0.5"/>
  <pageSetup scale="87" orientation="portrait" horizontalDpi="4294967293" r:id="rId2"/>
  <headerFooter alignWithMargins="0"/>
  <customProperties>
    <customPr name="SSCSheetTrackingNo" r:id="rId3"/>
  </customPropertie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3">
    <tabColor indexed="13"/>
  </sheetPr>
  <dimension ref="B2:AK87"/>
  <sheetViews>
    <sheetView showGridLines="0" showRowColHeaders="0" zoomScaleNormal="100" workbookViewId="0"/>
  </sheetViews>
  <sheetFormatPr defaultColWidth="2.7109375" defaultRowHeight="12.75" x14ac:dyDescent="0.2"/>
  <cols>
    <col min="1" max="16384" width="2.7109375" style="988"/>
  </cols>
  <sheetData>
    <row r="2" spans="2:37" x14ac:dyDescent="0.2">
      <c r="B2" s="1269" t="s">
        <v>1608</v>
      </c>
    </row>
    <row r="3" spans="2:37" x14ac:dyDescent="0.2">
      <c r="B3" s="1269"/>
    </row>
    <row r="4" spans="2:37" x14ac:dyDescent="0.2">
      <c r="B4" s="1269" t="s">
        <v>1609</v>
      </c>
    </row>
    <row r="6" spans="2:37" x14ac:dyDescent="0.2">
      <c r="B6" s="1271" t="s">
        <v>2370</v>
      </c>
    </row>
    <row r="7" spans="2:37" x14ac:dyDescent="0.2">
      <c r="C7" s="988" t="s">
        <v>2192</v>
      </c>
    </row>
    <row r="8" spans="2:37" x14ac:dyDescent="0.2">
      <c r="C8" s="1268" t="s">
        <v>2899</v>
      </c>
    </row>
    <row r="9" spans="2:37" x14ac:dyDescent="0.2">
      <c r="C9" s="1268" t="s">
        <v>2900</v>
      </c>
    </row>
    <row r="10" spans="2:37" x14ac:dyDescent="0.2">
      <c r="D10" s="988" t="s">
        <v>3798</v>
      </c>
    </row>
    <row r="11" spans="2:37" x14ac:dyDescent="0.2">
      <c r="D11" s="988" t="s">
        <v>3799</v>
      </c>
    </row>
    <row r="12" spans="2:37" x14ac:dyDescent="0.2">
      <c r="D12" s="988" t="s">
        <v>3800</v>
      </c>
    </row>
    <row r="13" spans="2:37" x14ac:dyDescent="0.2">
      <c r="D13" s="1274" t="s">
        <v>3386</v>
      </c>
    </row>
    <row r="14" spans="2:37" x14ac:dyDescent="0.2">
      <c r="D14" s="1267"/>
      <c r="E14" s="1268" t="s">
        <v>2193</v>
      </c>
      <c r="F14" s="1267"/>
      <c r="G14" s="1267"/>
      <c r="H14" s="1267"/>
      <c r="I14" s="1267"/>
      <c r="J14" s="1267"/>
      <c r="K14" s="1267"/>
      <c r="L14" s="1267"/>
      <c r="M14" s="1267"/>
      <c r="N14" s="1267"/>
      <c r="O14" s="1267"/>
      <c r="P14" s="1267"/>
      <c r="Q14" s="1267"/>
      <c r="R14" s="1267"/>
      <c r="S14" s="1267"/>
      <c r="T14" s="1267"/>
      <c r="U14" s="1267"/>
      <c r="V14" s="1267"/>
      <c r="W14" s="1267"/>
      <c r="X14" s="1267"/>
      <c r="Y14" s="1267"/>
      <c r="Z14" s="1267"/>
      <c r="AA14" s="1267"/>
      <c r="AB14" s="1267"/>
      <c r="AC14" s="1267"/>
      <c r="AD14" s="1267"/>
      <c r="AE14" s="1267"/>
      <c r="AF14" s="1267"/>
      <c r="AG14" s="1267"/>
      <c r="AH14" s="1267"/>
      <c r="AI14" s="1267"/>
      <c r="AJ14" s="1267"/>
      <c r="AK14" s="1267"/>
    </row>
    <row r="15" spans="2:37" x14ac:dyDescent="0.2">
      <c r="F15" s="988" t="s">
        <v>2194</v>
      </c>
    </row>
    <row r="16" spans="2:37" x14ac:dyDescent="0.2">
      <c r="F16" s="988" t="s">
        <v>2195</v>
      </c>
    </row>
    <row r="17" spans="5:6" x14ac:dyDescent="0.2">
      <c r="F17" s="988" t="s">
        <v>2196</v>
      </c>
    </row>
    <row r="18" spans="5:6" x14ac:dyDescent="0.2">
      <c r="F18" s="1006" t="s">
        <v>2198</v>
      </c>
    </row>
    <row r="19" spans="5:6" x14ac:dyDescent="0.2">
      <c r="F19" s="1006" t="s">
        <v>2199</v>
      </c>
    </row>
    <row r="20" spans="5:6" x14ac:dyDescent="0.2">
      <c r="E20" s="1268" t="s">
        <v>2901</v>
      </c>
    </row>
    <row r="21" spans="5:6" x14ac:dyDescent="0.2">
      <c r="F21" s="988" t="s">
        <v>2197</v>
      </c>
    </row>
    <row r="22" spans="5:6" x14ac:dyDescent="0.2">
      <c r="F22" s="988" t="s">
        <v>2195</v>
      </c>
    </row>
    <row r="23" spans="5:6" x14ac:dyDescent="0.2">
      <c r="F23" s="988" t="s">
        <v>2196</v>
      </c>
    </row>
    <row r="24" spans="5:6" x14ac:dyDescent="0.2">
      <c r="F24" s="1006" t="s">
        <v>2200</v>
      </c>
    </row>
    <row r="25" spans="5:6" x14ac:dyDescent="0.2">
      <c r="F25" s="1006" t="s">
        <v>2199</v>
      </c>
    </row>
    <row r="26" spans="5:6" x14ac:dyDescent="0.2">
      <c r="E26" s="1268" t="s">
        <v>2902</v>
      </c>
    </row>
    <row r="27" spans="5:6" x14ac:dyDescent="0.2">
      <c r="F27" s="988" t="s">
        <v>2202</v>
      </c>
    </row>
    <row r="28" spans="5:6" x14ac:dyDescent="0.2">
      <c r="F28" s="988" t="s">
        <v>2195</v>
      </c>
    </row>
    <row r="29" spans="5:6" x14ac:dyDescent="0.2">
      <c r="F29" s="1006" t="s">
        <v>2201</v>
      </c>
    </row>
    <row r="30" spans="5:6" x14ac:dyDescent="0.2">
      <c r="E30" s="1268" t="s">
        <v>2903</v>
      </c>
    </row>
    <row r="31" spans="5:6" x14ac:dyDescent="0.2">
      <c r="F31" s="988" t="s">
        <v>2204</v>
      </c>
    </row>
    <row r="32" spans="5:6" x14ac:dyDescent="0.2">
      <c r="F32" s="988" t="s">
        <v>2195</v>
      </c>
    </row>
    <row r="33" spans="5:8" x14ac:dyDescent="0.2">
      <c r="F33" s="1006" t="s">
        <v>2201</v>
      </c>
    </row>
    <row r="34" spans="5:8" x14ac:dyDescent="0.2">
      <c r="F34" s="1006" t="s">
        <v>2203</v>
      </c>
    </row>
    <row r="35" spans="5:8" x14ac:dyDescent="0.2">
      <c r="E35" s="1268" t="s">
        <v>2904</v>
      </c>
    </row>
    <row r="36" spans="5:8" x14ac:dyDescent="0.2">
      <c r="F36" s="988" t="s">
        <v>2205</v>
      </c>
    </row>
    <row r="37" spans="5:8" x14ac:dyDescent="0.2">
      <c r="F37" s="988" t="s">
        <v>2195</v>
      </c>
    </row>
    <row r="38" spans="5:8" x14ac:dyDescent="0.2">
      <c r="F38" s="1006" t="s">
        <v>2201</v>
      </c>
    </row>
    <row r="39" spans="5:8" x14ac:dyDescent="0.2">
      <c r="F39" s="1006" t="s">
        <v>2203</v>
      </c>
    </row>
    <row r="40" spans="5:8" x14ac:dyDescent="0.2">
      <c r="E40" s="1268" t="s">
        <v>2905</v>
      </c>
    </row>
    <row r="41" spans="5:8" x14ac:dyDescent="0.2">
      <c r="F41" s="988" t="s">
        <v>2206</v>
      </c>
    </row>
    <row r="42" spans="5:8" x14ac:dyDescent="0.2">
      <c r="F42" s="988" t="s">
        <v>2195</v>
      </c>
    </row>
    <row r="43" spans="5:8" x14ac:dyDescent="0.2">
      <c r="F43" s="1006" t="s">
        <v>2207</v>
      </c>
    </row>
    <row r="44" spans="5:8" x14ac:dyDescent="0.2">
      <c r="F44" s="1006" t="s">
        <v>2208</v>
      </c>
    </row>
    <row r="45" spans="5:8" x14ac:dyDescent="0.2">
      <c r="F45" s="1006" t="s">
        <v>2209</v>
      </c>
    </row>
    <row r="46" spans="5:8" x14ac:dyDescent="0.2">
      <c r="F46" s="1006"/>
      <c r="G46" s="1269" t="s">
        <v>1172</v>
      </c>
    </row>
    <row r="47" spans="5:8" x14ac:dyDescent="0.2">
      <c r="H47" s="988" t="s">
        <v>2210</v>
      </c>
    </row>
    <row r="48" spans="5:8" x14ac:dyDescent="0.2">
      <c r="H48" s="988" t="s">
        <v>2211</v>
      </c>
    </row>
    <row r="49" spans="4:8" x14ac:dyDescent="0.2">
      <c r="H49" s="988" t="s">
        <v>1169</v>
      </c>
    </row>
    <row r="50" spans="4:8" x14ac:dyDescent="0.2">
      <c r="H50" s="988" t="s">
        <v>1170</v>
      </c>
    </row>
    <row r="51" spans="4:8" x14ac:dyDescent="0.2">
      <c r="H51" s="988" t="s">
        <v>1171</v>
      </c>
    </row>
    <row r="52" spans="4:8" x14ac:dyDescent="0.2">
      <c r="D52" s="1268" t="s">
        <v>3803</v>
      </c>
    </row>
    <row r="53" spans="4:8" x14ac:dyDescent="0.2">
      <c r="E53" s="988" t="s">
        <v>3801</v>
      </c>
    </row>
    <row r="54" spans="4:8" x14ac:dyDescent="0.2">
      <c r="E54" s="988" t="s">
        <v>3802</v>
      </c>
    </row>
    <row r="56" spans="4:8" x14ac:dyDescent="0.2">
      <c r="D56" s="1268" t="s">
        <v>3809</v>
      </c>
    </row>
    <row r="57" spans="4:8" x14ac:dyDescent="0.2">
      <c r="F57" s="988" t="s">
        <v>3804</v>
      </c>
    </row>
    <row r="58" spans="4:8" x14ac:dyDescent="0.2">
      <c r="F58" s="988" t="s">
        <v>3805</v>
      </c>
    </row>
    <row r="59" spans="4:8" x14ac:dyDescent="0.2">
      <c r="F59" s="988" t="s">
        <v>3807</v>
      </c>
    </row>
    <row r="60" spans="4:8" x14ac:dyDescent="0.2">
      <c r="F60" s="988" t="s">
        <v>3806</v>
      </c>
    </row>
    <row r="61" spans="4:8" x14ac:dyDescent="0.2">
      <c r="F61" s="1006" t="s">
        <v>3808</v>
      </c>
    </row>
    <row r="62" spans="4:8" x14ac:dyDescent="0.2">
      <c r="D62" s="1268" t="s">
        <v>2365</v>
      </c>
    </row>
    <row r="63" spans="4:8" x14ac:dyDescent="0.2">
      <c r="D63" s="1268"/>
      <c r="F63" s="988" t="s">
        <v>3917</v>
      </c>
    </row>
    <row r="64" spans="4:8" x14ac:dyDescent="0.2">
      <c r="D64" s="1268"/>
      <c r="F64" s="988" t="s">
        <v>3918</v>
      </c>
    </row>
    <row r="65" spans="5:7" x14ac:dyDescent="0.2">
      <c r="E65" s="1269" t="s">
        <v>2906</v>
      </c>
    </row>
    <row r="66" spans="5:7" x14ac:dyDescent="0.2">
      <c r="E66" s="1269" t="s">
        <v>3906</v>
      </c>
    </row>
    <row r="67" spans="5:7" x14ac:dyDescent="0.2">
      <c r="E67" s="1269" t="s">
        <v>3907</v>
      </c>
    </row>
    <row r="68" spans="5:7" x14ac:dyDescent="0.2">
      <c r="E68" s="1269" t="s">
        <v>3908</v>
      </c>
    </row>
    <row r="69" spans="5:7" x14ac:dyDescent="0.2">
      <c r="E69" s="1270" t="s">
        <v>3810</v>
      </c>
      <c r="F69" s="1269" t="s">
        <v>3909</v>
      </c>
    </row>
    <row r="70" spans="5:7" x14ac:dyDescent="0.2">
      <c r="E70" s="1269" t="s">
        <v>3910</v>
      </c>
    </row>
    <row r="71" spans="5:7" x14ac:dyDescent="0.2">
      <c r="E71" s="954" t="s">
        <v>3911</v>
      </c>
    </row>
    <row r="72" spans="5:7" x14ac:dyDescent="0.2">
      <c r="E72" s="1270" t="s">
        <v>3810</v>
      </c>
      <c r="F72" s="1269" t="s">
        <v>3912</v>
      </c>
    </row>
    <row r="73" spans="5:7" x14ac:dyDescent="0.2">
      <c r="E73" s="954" t="s">
        <v>3913</v>
      </c>
    </row>
    <row r="74" spans="5:7" x14ac:dyDescent="0.2">
      <c r="F74" s="1269" t="s">
        <v>3811</v>
      </c>
    </row>
    <row r="75" spans="5:7" x14ac:dyDescent="0.2">
      <c r="F75" s="1269" t="s">
        <v>3812</v>
      </c>
    </row>
    <row r="76" spans="5:7" x14ac:dyDescent="0.2">
      <c r="F76" s="954" t="s">
        <v>3921</v>
      </c>
    </row>
    <row r="77" spans="5:7" x14ac:dyDescent="0.2">
      <c r="F77" s="954" t="s">
        <v>3813</v>
      </c>
    </row>
    <row r="78" spans="5:7" x14ac:dyDescent="0.2">
      <c r="F78" s="954" t="s">
        <v>3814</v>
      </c>
    </row>
    <row r="79" spans="5:7" x14ac:dyDescent="0.2">
      <c r="E79" s="1269" t="s">
        <v>3914</v>
      </c>
    </row>
    <row r="80" spans="5:7" x14ac:dyDescent="0.2">
      <c r="G80" s="988" t="s">
        <v>3815</v>
      </c>
    </row>
    <row r="81" spans="4:31" x14ac:dyDescent="0.2">
      <c r="E81" s="1269" t="s">
        <v>3915</v>
      </c>
    </row>
    <row r="82" spans="4:31" x14ac:dyDescent="0.2">
      <c r="E82" s="1269" t="s">
        <v>3916</v>
      </c>
    </row>
    <row r="83" spans="4:31" x14ac:dyDescent="0.2">
      <c r="E83" s="1270" t="s">
        <v>3810</v>
      </c>
      <c r="F83" s="988" t="s">
        <v>3919</v>
      </c>
    </row>
    <row r="84" spans="4:31" x14ac:dyDescent="0.2">
      <c r="D84" s="1269" t="s">
        <v>2366</v>
      </c>
    </row>
    <row r="85" spans="4:31" x14ac:dyDescent="0.2">
      <c r="E85" s="988" t="s">
        <v>2368</v>
      </c>
    </row>
    <row r="86" spans="4:31" x14ac:dyDescent="0.2">
      <c r="E86" s="1006" t="s">
        <v>2367</v>
      </c>
      <c r="AE86" s="988" t="s">
        <v>2369</v>
      </c>
    </row>
    <row r="87" spans="4:31" x14ac:dyDescent="0.2">
      <c r="D87" s="1269" t="s">
        <v>3920</v>
      </c>
    </row>
  </sheetData>
  <sheetProtection password="CA39" sheet="1"/>
  <phoneticPr fontId="2" type="noConversion"/>
  <pageMargins left="0.25" right="0.25" top="1" bottom="1" header="0" footer="0"/>
  <pageSetup scale="79" fitToHeight="2" orientation="portrait" horizontalDpi="4294967293" verticalDpi="300" r:id="rId1"/>
  <headerFooter alignWithMargins="0"/>
  <rowBreaks count="1" manualBreakCount="1">
    <brk id="55" max="16383" man="1"/>
  </rowBreaks>
  <customProperties>
    <customPr name="SSCSheetTrackingNo"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4">
    <tabColor indexed="13"/>
  </sheetPr>
  <dimension ref="B2:E116"/>
  <sheetViews>
    <sheetView workbookViewId="0">
      <selection activeCell="B116" sqref="B116"/>
    </sheetView>
  </sheetViews>
  <sheetFormatPr defaultColWidth="9.140625" defaultRowHeight="11.25" x14ac:dyDescent="0.2"/>
  <cols>
    <col min="1" max="1" width="3.28515625" style="1" customWidth="1"/>
    <col min="2" max="2" width="30.7109375" style="1" customWidth="1"/>
    <col min="3" max="5" width="30.7109375" style="2" customWidth="1"/>
    <col min="6" max="16384" width="9.140625" style="1"/>
  </cols>
  <sheetData>
    <row r="2" spans="2:5" x14ac:dyDescent="0.2">
      <c r="B2" s="1401" t="s">
        <v>2938</v>
      </c>
      <c r="C2" s="1402"/>
      <c r="D2" s="1402"/>
      <c r="E2" s="1403"/>
    </row>
    <row r="3" spans="2:5" x14ac:dyDescent="0.2">
      <c r="B3" s="1261" t="s">
        <v>2939</v>
      </c>
      <c r="C3" s="1243" t="s">
        <v>2940</v>
      </c>
      <c r="D3" s="1243" t="s">
        <v>2941</v>
      </c>
      <c r="E3" s="1243" t="s">
        <v>2942</v>
      </c>
    </row>
    <row r="4" spans="2:5" x14ac:dyDescent="0.2">
      <c r="B4" s="1262" t="s">
        <v>2943</v>
      </c>
      <c r="C4" s="50"/>
      <c r="D4" s="50"/>
      <c r="E4" s="57"/>
    </row>
    <row r="5" spans="2:5" x14ac:dyDescent="0.2">
      <c r="B5" s="1241" t="s">
        <v>2186</v>
      </c>
      <c r="C5" s="17" t="s">
        <v>2563</v>
      </c>
      <c r="D5" s="17" t="s">
        <v>2563</v>
      </c>
      <c r="E5" s="17" t="s">
        <v>2564</v>
      </c>
    </row>
    <row r="6" spans="2:5" x14ac:dyDescent="0.2">
      <c r="B6" s="1241" t="s">
        <v>2944</v>
      </c>
      <c r="C6" s="17" t="s">
        <v>2945</v>
      </c>
      <c r="D6" s="17" t="s">
        <v>2946</v>
      </c>
      <c r="E6" s="17" t="s">
        <v>2947</v>
      </c>
    </row>
    <row r="7" spans="2:5" x14ac:dyDescent="0.2">
      <c r="B7" s="1241" t="s">
        <v>2948</v>
      </c>
      <c r="C7" s="17" t="s">
        <v>2949</v>
      </c>
      <c r="D7" s="17" t="s">
        <v>2950</v>
      </c>
      <c r="E7" s="17" t="s">
        <v>2947</v>
      </c>
    </row>
    <row r="8" spans="2:5" x14ac:dyDescent="0.2">
      <c r="B8" s="1241" t="s">
        <v>2951</v>
      </c>
      <c r="C8" s="17" t="s">
        <v>2952</v>
      </c>
      <c r="D8" s="1404" t="s">
        <v>2953</v>
      </c>
      <c r="E8" s="1405"/>
    </row>
    <row r="9" spans="2:5" x14ac:dyDescent="0.2">
      <c r="B9" s="1249" t="s">
        <v>2954</v>
      </c>
      <c r="C9" s="19"/>
      <c r="D9" s="1263"/>
      <c r="E9" s="1264"/>
    </row>
    <row r="10" spans="2:5" x14ac:dyDescent="0.2">
      <c r="B10" s="1241" t="s">
        <v>2955</v>
      </c>
      <c r="C10" s="17" t="s">
        <v>2956</v>
      </c>
      <c r="D10" s="17" t="s">
        <v>2957</v>
      </c>
      <c r="E10" s="17" t="s">
        <v>2958</v>
      </c>
    </row>
    <row r="11" spans="2:5" x14ac:dyDescent="0.2">
      <c r="B11" s="1241" t="s">
        <v>2959</v>
      </c>
      <c r="C11" s="17" t="s">
        <v>2960</v>
      </c>
      <c r="D11" s="17" t="s">
        <v>2961</v>
      </c>
      <c r="E11" s="17" t="s">
        <v>2962</v>
      </c>
    </row>
    <row r="12" spans="2:5" x14ac:dyDescent="0.2">
      <c r="B12" s="1239" t="s">
        <v>2963</v>
      </c>
      <c r="C12" s="1240"/>
      <c r="D12" s="1240"/>
      <c r="E12" s="68"/>
    </row>
    <row r="13" spans="2:5" x14ac:dyDescent="0.2">
      <c r="B13" s="1241" t="s">
        <v>2964</v>
      </c>
      <c r="C13" s="17" t="s">
        <v>2563</v>
      </c>
      <c r="D13" s="1406" t="s">
        <v>2965</v>
      </c>
      <c r="E13" s="1406"/>
    </row>
    <row r="14" spans="2:5" x14ac:dyDescent="0.2">
      <c r="B14" s="1241" t="s">
        <v>3202</v>
      </c>
      <c r="C14" s="17" t="s">
        <v>2564</v>
      </c>
      <c r="D14" s="1406" t="s">
        <v>3203</v>
      </c>
      <c r="E14" s="1406"/>
    </row>
    <row r="15" spans="2:5" x14ac:dyDescent="0.2">
      <c r="B15" s="1407" t="s">
        <v>3204</v>
      </c>
      <c r="C15" s="1408" t="s">
        <v>3205</v>
      </c>
      <c r="D15" s="1409"/>
      <c r="E15" s="1410"/>
    </row>
    <row r="16" spans="2:5" x14ac:dyDescent="0.2">
      <c r="B16" s="1407"/>
      <c r="C16" s="1411"/>
      <c r="D16" s="1412"/>
      <c r="E16" s="1413"/>
    </row>
    <row r="17" spans="2:5" x14ac:dyDescent="0.2">
      <c r="B17" s="1241" t="s">
        <v>3206</v>
      </c>
      <c r="C17" s="1406" t="s">
        <v>2030</v>
      </c>
      <c r="D17" s="1406"/>
      <c r="E17" s="1406"/>
    </row>
    <row r="18" spans="2:5" x14ac:dyDescent="0.2">
      <c r="B18" s="1241" t="s">
        <v>2031</v>
      </c>
      <c r="C18" s="1406" t="s">
        <v>2032</v>
      </c>
      <c r="D18" s="1406"/>
      <c r="E18" s="1406"/>
    </row>
    <row r="19" spans="2:5" x14ac:dyDescent="0.2">
      <c r="B19" s="1241" t="s">
        <v>2187</v>
      </c>
      <c r="C19" s="17" t="s">
        <v>2033</v>
      </c>
      <c r="D19" s="17" t="s">
        <v>2034</v>
      </c>
      <c r="E19" s="17" t="s">
        <v>2035</v>
      </c>
    </row>
    <row r="20" spans="2:5" x14ac:dyDescent="0.2">
      <c r="B20" s="1241" t="s">
        <v>2036</v>
      </c>
      <c r="C20" s="17" t="s">
        <v>2037</v>
      </c>
      <c r="D20" s="17" t="s">
        <v>2563</v>
      </c>
      <c r="E20" s="17" t="s">
        <v>2038</v>
      </c>
    </row>
    <row r="21" spans="2:5" x14ac:dyDescent="0.2">
      <c r="B21" s="1241" t="s">
        <v>2039</v>
      </c>
      <c r="C21" s="17" t="s">
        <v>2040</v>
      </c>
      <c r="D21" s="17" t="s">
        <v>2563</v>
      </c>
      <c r="E21" s="17" t="s">
        <v>2041</v>
      </c>
    </row>
    <row r="22" spans="2:5" x14ac:dyDescent="0.2">
      <c r="B22" s="1249" t="s">
        <v>2042</v>
      </c>
      <c r="C22" s="19"/>
      <c r="D22" s="19"/>
      <c r="E22" s="20"/>
    </row>
    <row r="23" spans="2:5" x14ac:dyDescent="0.2">
      <c r="B23" s="1241" t="s">
        <v>2043</v>
      </c>
      <c r="C23" s="1406" t="s">
        <v>2032</v>
      </c>
      <c r="D23" s="1406"/>
      <c r="E23" s="1406"/>
    </row>
    <row r="24" spans="2:5" x14ac:dyDescent="0.2">
      <c r="B24" s="1241" t="s">
        <v>2044</v>
      </c>
      <c r="C24" s="17" t="s">
        <v>2564</v>
      </c>
      <c r="D24" s="17" t="s">
        <v>2564</v>
      </c>
      <c r="E24" s="17" t="s">
        <v>2564</v>
      </c>
    </row>
    <row r="25" spans="2:5" x14ac:dyDescent="0.2">
      <c r="B25" s="1241" t="s">
        <v>2188</v>
      </c>
      <c r="C25" s="17" t="s">
        <v>2045</v>
      </c>
      <c r="D25" s="17" t="s">
        <v>2046</v>
      </c>
      <c r="E25" s="17" t="s">
        <v>2047</v>
      </c>
    </row>
    <row r="26" spans="2:5" x14ac:dyDescent="0.2">
      <c r="B26" s="1241" t="s">
        <v>2048</v>
      </c>
      <c r="C26" s="17" t="s">
        <v>2049</v>
      </c>
      <c r="D26" s="17" t="s">
        <v>2305</v>
      </c>
      <c r="E26" s="17" t="s">
        <v>2305</v>
      </c>
    </row>
    <row r="27" spans="2:5" x14ac:dyDescent="0.2">
      <c r="B27" s="1241" t="s">
        <v>2306</v>
      </c>
      <c r="C27" s="17" t="s">
        <v>2307</v>
      </c>
      <c r="D27" s="17" t="s">
        <v>2307</v>
      </c>
      <c r="E27" s="17" t="s">
        <v>2564</v>
      </c>
    </row>
    <row r="28" spans="2:5" x14ac:dyDescent="0.2">
      <c r="B28" s="1241" t="s">
        <v>2308</v>
      </c>
      <c r="C28" s="17" t="s">
        <v>2309</v>
      </c>
      <c r="D28" s="17" t="s">
        <v>2309</v>
      </c>
      <c r="E28" s="17" t="s">
        <v>2564</v>
      </c>
    </row>
    <row r="29" spans="2:5" x14ac:dyDescent="0.2">
      <c r="B29" s="1241" t="s">
        <v>2310</v>
      </c>
      <c r="C29" s="17" t="s">
        <v>2563</v>
      </c>
      <c r="D29" s="17" t="s">
        <v>2564</v>
      </c>
      <c r="E29" s="17" t="s">
        <v>2564</v>
      </c>
    </row>
    <row r="30" spans="2:5" x14ac:dyDescent="0.2">
      <c r="B30" s="1241" t="s">
        <v>2189</v>
      </c>
      <c r="C30" s="17" t="s">
        <v>2311</v>
      </c>
      <c r="D30" s="17" t="s">
        <v>2563</v>
      </c>
      <c r="E30" s="17" t="s">
        <v>2312</v>
      </c>
    </row>
    <row r="31" spans="2:5" x14ac:dyDescent="0.2">
      <c r="B31" s="1241" t="s">
        <v>2313</v>
      </c>
      <c r="C31" s="17" t="s">
        <v>2563</v>
      </c>
      <c r="D31" s="17" t="s">
        <v>2563</v>
      </c>
      <c r="E31" s="17" t="s">
        <v>2564</v>
      </c>
    </row>
    <row r="32" spans="2:5" x14ac:dyDescent="0.2">
      <c r="B32" s="1241" t="s">
        <v>2314</v>
      </c>
      <c r="C32" s="17" t="s">
        <v>2564</v>
      </c>
      <c r="D32" s="17" t="s">
        <v>2563</v>
      </c>
      <c r="E32" s="17" t="s">
        <v>2564</v>
      </c>
    </row>
    <row r="33" spans="2:5" x14ac:dyDescent="0.2">
      <c r="B33" s="1241" t="s">
        <v>2315</v>
      </c>
      <c r="C33" s="17" t="s">
        <v>2563</v>
      </c>
      <c r="D33" s="17" t="s">
        <v>2563</v>
      </c>
      <c r="E33" s="17" t="s">
        <v>2190</v>
      </c>
    </row>
    <row r="34" spans="2:5" x14ac:dyDescent="0.2">
      <c r="B34" s="1239" t="s">
        <v>2316</v>
      </c>
      <c r="C34" s="19"/>
      <c r="D34" s="19"/>
      <c r="E34" s="20"/>
    </row>
    <row r="35" spans="2:5" x14ac:dyDescent="0.2">
      <c r="B35" s="62" t="s">
        <v>2317</v>
      </c>
      <c r="C35" s="17" t="s">
        <v>2318</v>
      </c>
      <c r="D35" s="17" t="s">
        <v>2318</v>
      </c>
      <c r="E35" s="17" t="s">
        <v>2319</v>
      </c>
    </row>
    <row r="36" spans="2:5" x14ac:dyDescent="0.2">
      <c r="B36" s="62" t="s">
        <v>2320</v>
      </c>
      <c r="C36" s="17" t="s">
        <v>2321</v>
      </c>
      <c r="D36" s="17" t="s">
        <v>2321</v>
      </c>
      <c r="E36" s="17" t="s">
        <v>2322</v>
      </c>
    </row>
    <row r="37" spans="2:5" x14ac:dyDescent="0.2">
      <c r="B37" s="62" t="s">
        <v>2323</v>
      </c>
      <c r="C37" s="17" t="s">
        <v>1726</v>
      </c>
      <c r="D37" s="17" t="s">
        <v>1727</v>
      </c>
      <c r="E37" s="17" t="s">
        <v>1728</v>
      </c>
    </row>
    <row r="38" spans="2:5" x14ac:dyDescent="0.2">
      <c r="B38" s="1242" t="s">
        <v>1729</v>
      </c>
      <c r="C38" s="17" t="s">
        <v>2563</v>
      </c>
      <c r="D38" s="17" t="s">
        <v>2564</v>
      </c>
      <c r="E38" s="17" t="s">
        <v>2564</v>
      </c>
    </row>
    <row r="39" spans="2:5" x14ac:dyDescent="0.2">
      <c r="B39" s="1242" t="s">
        <v>1730</v>
      </c>
      <c r="C39" s="17" t="s">
        <v>1731</v>
      </c>
      <c r="D39" s="17" t="s">
        <v>1732</v>
      </c>
      <c r="E39" s="17" t="s">
        <v>1733</v>
      </c>
    </row>
    <row r="40" spans="2:5" x14ac:dyDescent="0.2">
      <c r="B40" s="1239" t="s">
        <v>1025</v>
      </c>
      <c r="C40" s="19"/>
      <c r="D40" s="19"/>
      <c r="E40" s="20"/>
    </row>
    <row r="41" spans="2:5" x14ac:dyDescent="0.2">
      <c r="B41" s="62" t="s">
        <v>1734</v>
      </c>
      <c r="C41" s="17" t="s">
        <v>2563</v>
      </c>
      <c r="D41" s="17" t="s">
        <v>2564</v>
      </c>
      <c r="E41" s="17" t="s">
        <v>2564</v>
      </c>
    </row>
    <row r="42" spans="2:5" x14ac:dyDescent="0.2">
      <c r="B42" s="62" t="s">
        <v>1735</v>
      </c>
      <c r="C42" s="17" t="s">
        <v>1736</v>
      </c>
      <c r="D42" s="17" t="s">
        <v>1737</v>
      </c>
      <c r="E42" s="17" t="s">
        <v>1737</v>
      </c>
    </row>
    <row r="43" spans="2:5" x14ac:dyDescent="0.2">
      <c r="B43" s="62" t="s">
        <v>1738</v>
      </c>
      <c r="C43" s="17" t="s">
        <v>1739</v>
      </c>
      <c r="D43" s="17" t="s">
        <v>1739</v>
      </c>
      <c r="E43" s="17" t="s">
        <v>1740</v>
      </c>
    </row>
    <row r="44" spans="2:5" x14ac:dyDescent="0.2">
      <c r="B44" s="62" t="s">
        <v>1741</v>
      </c>
      <c r="C44" s="17" t="s">
        <v>1742</v>
      </c>
      <c r="D44" s="17" t="s">
        <v>1743</v>
      </c>
      <c r="E44" s="17" t="s">
        <v>1744</v>
      </c>
    </row>
    <row r="45" spans="2:5" x14ac:dyDescent="0.2">
      <c r="B45" s="62" t="s">
        <v>1745</v>
      </c>
      <c r="C45" s="17" t="s">
        <v>1746</v>
      </c>
      <c r="D45" s="17" t="s">
        <v>1747</v>
      </c>
      <c r="E45" s="17" t="s">
        <v>1747</v>
      </c>
    </row>
    <row r="46" spans="2:5" x14ac:dyDescent="0.2">
      <c r="B46" s="1239" t="s">
        <v>1748</v>
      </c>
      <c r="C46" s="19"/>
      <c r="D46" s="19"/>
      <c r="E46" s="20"/>
    </row>
    <row r="47" spans="2:5" x14ac:dyDescent="0.2">
      <c r="B47" s="62" t="s">
        <v>2118</v>
      </c>
      <c r="C47" s="17" t="s">
        <v>2564</v>
      </c>
      <c r="D47" s="17" t="s">
        <v>2564</v>
      </c>
      <c r="E47" s="17" t="s">
        <v>2564</v>
      </c>
    </row>
    <row r="48" spans="2:5" x14ac:dyDescent="0.2">
      <c r="B48" s="62" t="s">
        <v>2119</v>
      </c>
      <c r="C48" s="17" t="s">
        <v>2040</v>
      </c>
      <c r="D48" s="17" t="s">
        <v>2563</v>
      </c>
      <c r="E48" s="17" t="s">
        <v>2041</v>
      </c>
    </row>
    <row r="49" spans="2:5" x14ac:dyDescent="0.2">
      <c r="B49" s="62" t="s">
        <v>2120</v>
      </c>
      <c r="C49" s="17" t="s">
        <v>2121</v>
      </c>
      <c r="D49" s="1414" t="s">
        <v>2122</v>
      </c>
      <c r="E49" s="1415"/>
    </row>
    <row r="50" spans="2:5" x14ac:dyDescent="0.2">
      <c r="B50" s="62" t="s">
        <v>2123</v>
      </c>
      <c r="C50" s="17" t="s">
        <v>2124</v>
      </c>
      <c r="D50" s="17" t="s">
        <v>2563</v>
      </c>
      <c r="E50" s="17" t="s">
        <v>2125</v>
      </c>
    </row>
    <row r="51" spans="2:5" x14ac:dyDescent="0.2">
      <c r="B51" s="62" t="s">
        <v>2126</v>
      </c>
      <c r="C51" s="17" t="s">
        <v>2127</v>
      </c>
      <c r="D51" s="1414" t="s">
        <v>2128</v>
      </c>
      <c r="E51" s="1415"/>
    </row>
    <row r="52" spans="2:5" x14ac:dyDescent="0.2">
      <c r="B52" s="62" t="s">
        <v>1184</v>
      </c>
      <c r="C52" s="17" t="s">
        <v>2808</v>
      </c>
      <c r="D52" s="17" t="s">
        <v>2129</v>
      </c>
      <c r="E52" s="17" t="s">
        <v>2130</v>
      </c>
    </row>
    <row r="53" spans="2:5" x14ac:dyDescent="0.2">
      <c r="B53" s="62" t="s">
        <v>2131</v>
      </c>
      <c r="C53" s="17" t="s">
        <v>2132</v>
      </c>
      <c r="D53" s="1414" t="s">
        <v>2133</v>
      </c>
      <c r="E53" s="1415"/>
    </row>
    <row r="54" spans="2:5" x14ac:dyDescent="0.2">
      <c r="B54" s="1239" t="s">
        <v>1191</v>
      </c>
      <c r="C54" s="19"/>
      <c r="D54" s="19"/>
      <c r="E54" s="20"/>
    </row>
    <row r="55" spans="2:5" x14ac:dyDescent="0.2">
      <c r="B55" s="62" t="s">
        <v>2134</v>
      </c>
      <c r="C55" s="17" t="s">
        <v>2135</v>
      </c>
      <c r="D55" s="1414" t="s">
        <v>0</v>
      </c>
      <c r="E55" s="1415"/>
    </row>
    <row r="56" spans="2:5" x14ac:dyDescent="0.2">
      <c r="B56" s="62" t="s">
        <v>1</v>
      </c>
      <c r="C56" s="17" t="s">
        <v>2563</v>
      </c>
      <c r="D56" s="1414" t="s">
        <v>2564</v>
      </c>
      <c r="E56" s="1415"/>
    </row>
    <row r="57" spans="2:5" x14ac:dyDescent="0.2">
      <c r="B57" s="62" t="s">
        <v>3286</v>
      </c>
      <c r="C57" s="17" t="s">
        <v>3287</v>
      </c>
      <c r="D57" s="17" t="s">
        <v>3288</v>
      </c>
      <c r="E57" s="17" t="s">
        <v>3289</v>
      </c>
    </row>
    <row r="58" spans="2:5" x14ac:dyDescent="0.2">
      <c r="B58" s="62" t="s">
        <v>3290</v>
      </c>
      <c r="C58" s="17" t="s">
        <v>2564</v>
      </c>
      <c r="D58" s="17" t="s">
        <v>3291</v>
      </c>
      <c r="E58" s="17" t="s">
        <v>3292</v>
      </c>
    </row>
    <row r="59" spans="2:5" x14ac:dyDescent="0.2">
      <c r="B59" s="62" t="s">
        <v>3293</v>
      </c>
      <c r="C59" s="17" t="s">
        <v>3294</v>
      </c>
      <c r="D59" s="1414" t="s">
        <v>3295</v>
      </c>
      <c r="E59" s="1415"/>
    </row>
    <row r="60" spans="2:5" x14ac:dyDescent="0.2">
      <c r="B60" s="1242" t="s">
        <v>3296</v>
      </c>
      <c r="C60" s="19" t="s">
        <v>2563</v>
      </c>
      <c r="D60" s="19" t="s">
        <v>2563</v>
      </c>
      <c r="E60" s="20" t="s">
        <v>2564</v>
      </c>
    </row>
    <row r="61" spans="2:5" x14ac:dyDescent="0.2">
      <c r="B61" s="1416" t="s">
        <v>3297</v>
      </c>
      <c r="C61" s="1417"/>
      <c r="D61" s="1417"/>
      <c r="E61" s="1418"/>
    </row>
    <row r="62" spans="2:5" x14ac:dyDescent="0.2">
      <c r="B62" s="62" t="s">
        <v>3298</v>
      </c>
      <c r="C62" s="17" t="s">
        <v>2563</v>
      </c>
      <c r="D62" s="17" t="s">
        <v>2563</v>
      </c>
      <c r="E62" s="17" t="s">
        <v>2564</v>
      </c>
    </row>
    <row r="63" spans="2:5" x14ac:dyDescent="0.2">
      <c r="B63" s="62" t="s">
        <v>3299</v>
      </c>
      <c r="C63" s="17" t="s">
        <v>3300</v>
      </c>
      <c r="D63" s="1414" t="s">
        <v>3301</v>
      </c>
      <c r="E63" s="1415"/>
    </row>
    <row r="64" spans="2:5" x14ac:dyDescent="0.2">
      <c r="B64" s="62" t="s">
        <v>3302</v>
      </c>
      <c r="C64" s="17" t="s">
        <v>3303</v>
      </c>
      <c r="D64" s="17" t="s">
        <v>2563</v>
      </c>
      <c r="E64" s="17" t="s">
        <v>3304</v>
      </c>
    </row>
    <row r="65" spans="2:5" x14ac:dyDescent="0.2">
      <c r="B65" s="62" t="s">
        <v>3305</v>
      </c>
      <c r="C65" s="17" t="s">
        <v>3306</v>
      </c>
      <c r="D65" s="1414" t="s">
        <v>3307</v>
      </c>
      <c r="E65" s="1415"/>
    </row>
    <row r="66" spans="2:5" x14ac:dyDescent="0.2">
      <c r="B66" s="62" t="s">
        <v>3308</v>
      </c>
      <c r="C66" s="17" t="s">
        <v>2563</v>
      </c>
      <c r="D66" s="17" t="s">
        <v>2564</v>
      </c>
      <c r="E66" s="17" t="s">
        <v>2564</v>
      </c>
    </row>
    <row r="67" spans="2:5" x14ac:dyDescent="0.2">
      <c r="B67" s="62" t="s">
        <v>3309</v>
      </c>
      <c r="C67" s="17" t="s">
        <v>3310</v>
      </c>
      <c r="D67" s="17" t="s">
        <v>3311</v>
      </c>
      <c r="E67" s="17" t="s">
        <v>3312</v>
      </c>
    </row>
    <row r="68" spans="2:5" x14ac:dyDescent="0.2">
      <c r="B68" s="62" t="s">
        <v>3313</v>
      </c>
      <c r="C68" s="17" t="s">
        <v>3306</v>
      </c>
      <c r="D68" s="17" t="s">
        <v>3311</v>
      </c>
      <c r="E68" s="17" t="s">
        <v>3314</v>
      </c>
    </row>
    <row r="69" spans="2:5" x14ac:dyDescent="0.2">
      <c r="B69" s="62" t="s">
        <v>3315</v>
      </c>
      <c r="C69" s="17" t="s">
        <v>3311</v>
      </c>
      <c r="D69" s="17" t="s">
        <v>3311</v>
      </c>
      <c r="E69" s="17" t="s">
        <v>3316</v>
      </c>
    </row>
    <row r="70" spans="2:5" x14ac:dyDescent="0.2">
      <c r="B70" s="62" t="s">
        <v>3317</v>
      </c>
      <c r="C70" s="17" t="s">
        <v>3311</v>
      </c>
      <c r="D70" s="17" t="s">
        <v>3311</v>
      </c>
      <c r="E70" s="17" t="s">
        <v>2564</v>
      </c>
    </row>
    <row r="71" spans="2:5" x14ac:dyDescent="0.2">
      <c r="B71" s="62" t="s">
        <v>3318</v>
      </c>
      <c r="C71" s="17" t="s">
        <v>3311</v>
      </c>
      <c r="D71" s="17" t="s">
        <v>3311</v>
      </c>
      <c r="E71" s="17" t="s">
        <v>2564</v>
      </c>
    </row>
    <row r="72" spans="2:5" x14ac:dyDescent="0.2">
      <c r="B72" s="62" t="s">
        <v>3319</v>
      </c>
      <c r="C72" s="17" t="s">
        <v>3311</v>
      </c>
      <c r="D72" s="17" t="s">
        <v>3311</v>
      </c>
      <c r="E72" s="17" t="s">
        <v>2564</v>
      </c>
    </row>
    <row r="73" spans="2:5" x14ac:dyDescent="0.2">
      <c r="B73" s="62" t="s">
        <v>3320</v>
      </c>
      <c r="C73" s="17" t="s">
        <v>3311</v>
      </c>
      <c r="D73" s="17" t="s">
        <v>3311</v>
      </c>
      <c r="E73" s="17" t="s">
        <v>2564</v>
      </c>
    </row>
    <row r="74" spans="2:5" x14ac:dyDescent="0.2">
      <c r="B74" s="1239" t="s">
        <v>3630</v>
      </c>
      <c r="C74" s="19"/>
      <c r="D74" s="19"/>
      <c r="E74" s="20"/>
    </row>
    <row r="75" spans="2:5" x14ac:dyDescent="0.2">
      <c r="B75" s="62" t="s">
        <v>3321</v>
      </c>
      <c r="C75" s="17" t="s">
        <v>3322</v>
      </c>
      <c r="D75" s="1406" t="s">
        <v>3323</v>
      </c>
      <c r="E75" s="1406"/>
    </row>
    <row r="76" spans="2:5" x14ac:dyDescent="0.2">
      <c r="B76" s="62" t="s">
        <v>2547</v>
      </c>
      <c r="C76" s="17" t="s">
        <v>3324</v>
      </c>
      <c r="D76" s="1414" t="s">
        <v>3325</v>
      </c>
      <c r="E76" s="1415"/>
    </row>
    <row r="77" spans="2:5" x14ac:dyDescent="0.2">
      <c r="B77" s="62" t="s">
        <v>2323</v>
      </c>
      <c r="C77" s="17" t="s">
        <v>3326</v>
      </c>
      <c r="D77" s="2" t="s">
        <v>3327</v>
      </c>
      <c r="E77" s="17" t="s">
        <v>3328</v>
      </c>
    </row>
    <row r="78" spans="2:5" x14ac:dyDescent="0.2">
      <c r="B78" s="62" t="s">
        <v>3329</v>
      </c>
      <c r="C78" s="17" t="s">
        <v>3330</v>
      </c>
      <c r="D78" s="1414" t="s">
        <v>2191</v>
      </c>
      <c r="E78" s="1415"/>
    </row>
    <row r="79" spans="2:5" x14ac:dyDescent="0.2">
      <c r="B79" s="62" t="s">
        <v>3331</v>
      </c>
      <c r="C79" s="17" t="s">
        <v>2564</v>
      </c>
      <c r="D79" s="17" t="s">
        <v>2563</v>
      </c>
      <c r="E79" s="17" t="s">
        <v>2564</v>
      </c>
    </row>
    <row r="80" spans="2:5" x14ac:dyDescent="0.2">
      <c r="B80" s="62" t="s">
        <v>3332</v>
      </c>
      <c r="C80" s="17" t="s">
        <v>3333</v>
      </c>
      <c r="D80" s="1414" t="s">
        <v>3334</v>
      </c>
      <c r="E80" s="1415"/>
    </row>
    <row r="81" spans="2:5" x14ac:dyDescent="0.2">
      <c r="B81" s="62" t="s">
        <v>3335</v>
      </c>
      <c r="C81" s="17" t="s">
        <v>3336</v>
      </c>
      <c r="D81" s="1414" t="s">
        <v>3337</v>
      </c>
      <c r="E81" s="1415"/>
    </row>
    <row r="82" spans="2:5" x14ac:dyDescent="0.2">
      <c r="B82" s="62" t="s">
        <v>3338</v>
      </c>
      <c r="C82" s="17" t="s">
        <v>3330</v>
      </c>
      <c r="D82" s="1414" t="s">
        <v>3339</v>
      </c>
      <c r="E82" s="1415"/>
    </row>
    <row r="83" spans="2:5" x14ac:dyDescent="0.2">
      <c r="B83" s="62" t="s">
        <v>3340</v>
      </c>
      <c r="C83" s="17" t="s">
        <v>3330</v>
      </c>
      <c r="D83" s="1414" t="s">
        <v>3341</v>
      </c>
      <c r="E83" s="1415"/>
    </row>
    <row r="84" spans="2:5" x14ac:dyDescent="0.2">
      <c r="B84" s="62" t="s">
        <v>1118</v>
      </c>
      <c r="C84" s="17" t="s">
        <v>3330</v>
      </c>
      <c r="D84" s="1414" t="s">
        <v>1119</v>
      </c>
      <c r="E84" s="1415"/>
    </row>
    <row r="85" spans="2:5" x14ac:dyDescent="0.2">
      <c r="B85" s="62" t="s">
        <v>1120</v>
      </c>
      <c r="C85" s="17" t="s">
        <v>3330</v>
      </c>
      <c r="D85" s="1414" t="s">
        <v>1121</v>
      </c>
      <c r="E85" s="1415"/>
    </row>
    <row r="86" spans="2:5" x14ac:dyDescent="0.2">
      <c r="B86" s="62" t="s">
        <v>1122</v>
      </c>
      <c r="C86" s="17" t="s">
        <v>1123</v>
      </c>
      <c r="D86" s="1414" t="s">
        <v>1124</v>
      </c>
      <c r="E86" s="1415"/>
    </row>
    <row r="87" spans="2:5" x14ac:dyDescent="0.2">
      <c r="B87" s="62" t="s">
        <v>1125</v>
      </c>
      <c r="C87" s="17" t="s">
        <v>1126</v>
      </c>
      <c r="D87" s="1414" t="s">
        <v>1127</v>
      </c>
      <c r="E87" s="1415"/>
    </row>
    <row r="88" spans="2:5" x14ac:dyDescent="0.2">
      <c r="B88" s="62" t="s">
        <v>1128</v>
      </c>
      <c r="C88" s="17" t="s">
        <v>1129</v>
      </c>
      <c r="D88" s="18" t="s">
        <v>2563</v>
      </c>
      <c r="E88" s="17" t="s">
        <v>1130</v>
      </c>
    </row>
    <row r="89" spans="2:5" x14ac:dyDescent="0.2">
      <c r="B89" s="62" t="s">
        <v>1131</v>
      </c>
      <c r="C89" s="17" t="s">
        <v>1132</v>
      </c>
      <c r="D89" s="17" t="s">
        <v>2563</v>
      </c>
      <c r="E89" s="17" t="s">
        <v>1133</v>
      </c>
    </row>
    <row r="90" spans="2:5" x14ac:dyDescent="0.2">
      <c r="B90" s="1239" t="s">
        <v>1134</v>
      </c>
      <c r="C90" s="19"/>
      <c r="D90" s="19"/>
      <c r="E90" s="20"/>
    </row>
    <row r="91" spans="2:5" x14ac:dyDescent="0.2">
      <c r="B91" s="62" t="s">
        <v>1135</v>
      </c>
      <c r="C91" s="17" t="s">
        <v>3322</v>
      </c>
      <c r="D91" s="1414" t="s">
        <v>1136</v>
      </c>
      <c r="E91" s="1415"/>
    </row>
    <row r="92" spans="2:5" x14ac:dyDescent="0.2">
      <c r="B92" s="62" t="s">
        <v>1137</v>
      </c>
      <c r="C92" s="17" t="s">
        <v>1138</v>
      </c>
      <c r="D92" s="1414" t="s">
        <v>1139</v>
      </c>
      <c r="E92" s="1415"/>
    </row>
    <row r="93" spans="2:5" x14ac:dyDescent="0.2">
      <c r="B93" s="62" t="s">
        <v>181</v>
      </c>
      <c r="C93" s="17" t="s">
        <v>182</v>
      </c>
      <c r="D93" s="17" t="s">
        <v>1126</v>
      </c>
      <c r="E93" s="17" t="s">
        <v>182</v>
      </c>
    </row>
    <row r="94" spans="2:5" x14ac:dyDescent="0.2">
      <c r="B94" s="62" t="s">
        <v>183</v>
      </c>
      <c r="C94" s="1414" t="s">
        <v>184</v>
      </c>
      <c r="D94" s="1419"/>
      <c r="E94" s="1415"/>
    </row>
    <row r="95" spans="2:5" x14ac:dyDescent="0.2">
      <c r="B95" s="62" t="s">
        <v>185</v>
      </c>
      <c r="C95" s="17" t="s">
        <v>2563</v>
      </c>
      <c r="D95" s="18" t="s">
        <v>2563</v>
      </c>
      <c r="E95" s="17" t="s">
        <v>186</v>
      </c>
    </row>
    <row r="96" spans="2:5" x14ac:dyDescent="0.2">
      <c r="B96" s="62" t="s">
        <v>187</v>
      </c>
      <c r="C96" s="17" t="s">
        <v>2563</v>
      </c>
      <c r="D96" s="17" t="s">
        <v>2563</v>
      </c>
      <c r="E96" s="17" t="s">
        <v>2564</v>
      </c>
    </row>
    <row r="97" spans="2:5" x14ac:dyDescent="0.2">
      <c r="B97" s="1239" t="s">
        <v>188</v>
      </c>
      <c r="C97" s="1265"/>
      <c r="D97" s="1265"/>
      <c r="E97" s="1266"/>
    </row>
    <row r="98" spans="2:5" x14ac:dyDescent="0.2">
      <c r="B98" s="62" t="s">
        <v>189</v>
      </c>
      <c r="C98" s="17" t="s">
        <v>190</v>
      </c>
      <c r="D98" s="17" t="s">
        <v>2563</v>
      </c>
      <c r="E98" s="17" t="s">
        <v>191</v>
      </c>
    </row>
    <row r="99" spans="2:5" x14ac:dyDescent="0.2">
      <c r="B99" s="62" t="s">
        <v>192</v>
      </c>
      <c r="C99" s="17" t="s">
        <v>2563</v>
      </c>
      <c r="D99" s="17" t="s">
        <v>2563</v>
      </c>
      <c r="E99" s="17" t="s">
        <v>2564</v>
      </c>
    </row>
    <row r="100" spans="2:5" x14ac:dyDescent="0.2">
      <c r="B100" s="62" t="s">
        <v>193</v>
      </c>
      <c r="C100" s="17" t="s">
        <v>2563</v>
      </c>
      <c r="D100" s="17" t="s">
        <v>2563</v>
      </c>
      <c r="E100" s="17" t="s">
        <v>2564</v>
      </c>
    </row>
    <row r="101" spans="2:5" x14ac:dyDescent="0.2">
      <c r="B101" s="62" t="s">
        <v>2426</v>
      </c>
      <c r="C101" s="17" t="s">
        <v>2563</v>
      </c>
      <c r="D101" s="1414" t="s">
        <v>194</v>
      </c>
      <c r="E101" s="1415"/>
    </row>
    <row r="102" spans="2:5" x14ac:dyDescent="0.2">
      <c r="B102" s="62" t="s">
        <v>195</v>
      </c>
      <c r="C102" s="17" t="s">
        <v>2563</v>
      </c>
      <c r="D102" s="17" t="s">
        <v>2563</v>
      </c>
      <c r="E102" s="17" t="s">
        <v>2564</v>
      </c>
    </row>
    <row r="103" spans="2:5" x14ac:dyDescent="0.2">
      <c r="B103" s="62" t="s">
        <v>196</v>
      </c>
      <c r="C103" s="17" t="s">
        <v>2563</v>
      </c>
      <c r="D103" s="17" t="s">
        <v>2563</v>
      </c>
      <c r="E103" s="17" t="s">
        <v>2564</v>
      </c>
    </row>
    <row r="104" spans="2:5" x14ac:dyDescent="0.2">
      <c r="B104" s="1239" t="s">
        <v>197</v>
      </c>
      <c r="C104" s="19"/>
      <c r="D104" s="19"/>
      <c r="E104" s="20"/>
    </row>
    <row r="105" spans="2:5" x14ac:dyDescent="0.2">
      <c r="B105" s="62" t="s">
        <v>198</v>
      </c>
      <c r="C105" s="1414" t="s">
        <v>199</v>
      </c>
      <c r="D105" s="1419"/>
      <c r="E105" s="1415"/>
    </row>
    <row r="106" spans="2:5" x14ac:dyDescent="0.2">
      <c r="B106" s="62" t="s">
        <v>200</v>
      </c>
      <c r="C106" s="17" t="s">
        <v>201</v>
      </c>
      <c r="D106" s="1414" t="s">
        <v>202</v>
      </c>
      <c r="E106" s="1415"/>
    </row>
    <row r="107" spans="2:5" x14ac:dyDescent="0.2">
      <c r="B107" s="1242"/>
      <c r="C107" s="19"/>
      <c r="D107" s="19"/>
      <c r="E107" s="20"/>
    </row>
    <row r="108" spans="2:5" x14ac:dyDescent="0.2">
      <c r="B108" s="51" t="s">
        <v>203</v>
      </c>
      <c r="C108" s="37"/>
      <c r="D108" s="37"/>
      <c r="E108" s="24"/>
    </row>
    <row r="109" spans="2:5" x14ac:dyDescent="0.2">
      <c r="B109" s="1420" t="s">
        <v>3485</v>
      </c>
      <c r="C109" s="1421"/>
      <c r="D109" s="1421"/>
      <c r="E109" s="1422"/>
    </row>
    <row r="110" spans="2:5" x14ac:dyDescent="0.2">
      <c r="B110" s="1423"/>
      <c r="C110" s="1424"/>
      <c r="D110" s="1424"/>
      <c r="E110" s="1425"/>
    </row>
    <row r="111" spans="2:5" x14ac:dyDescent="0.2">
      <c r="B111" s="51" t="s">
        <v>3486</v>
      </c>
      <c r="C111" s="37"/>
      <c r="D111" s="37"/>
      <c r="E111" s="24"/>
    </row>
    <row r="112" spans="2:5" x14ac:dyDescent="0.2">
      <c r="B112" s="52" t="s">
        <v>3487</v>
      </c>
      <c r="C112" s="39"/>
      <c r="D112" s="39"/>
      <c r="E112" s="26"/>
    </row>
    <row r="113" spans="2:5" x14ac:dyDescent="0.2">
      <c r="B113" s="52" t="s">
        <v>713</v>
      </c>
      <c r="C113" s="39"/>
      <c r="D113" s="39"/>
      <c r="E113" s="26"/>
    </row>
    <row r="114" spans="2:5" x14ac:dyDescent="0.2">
      <c r="B114" s="52" t="s">
        <v>714</v>
      </c>
      <c r="C114" s="39"/>
      <c r="D114" s="39"/>
      <c r="E114" s="26"/>
    </row>
    <row r="115" spans="2:5" x14ac:dyDescent="0.2">
      <c r="B115" s="52" t="s">
        <v>715</v>
      </c>
      <c r="C115" s="39"/>
      <c r="D115" s="39"/>
      <c r="E115" s="26"/>
    </row>
    <row r="116" spans="2:5" x14ac:dyDescent="0.2">
      <c r="B116" s="53" t="s">
        <v>716</v>
      </c>
      <c r="C116" s="29"/>
      <c r="D116" s="29"/>
      <c r="E116" s="28"/>
    </row>
  </sheetData>
  <mergeCells count="36">
    <mergeCell ref="C94:E94"/>
    <mergeCell ref="D101:E101"/>
    <mergeCell ref="C105:E105"/>
    <mergeCell ref="D106:E106"/>
    <mergeCell ref="B109:E110"/>
    <mergeCell ref="D85:E85"/>
    <mergeCell ref="D86:E86"/>
    <mergeCell ref="D87:E87"/>
    <mergeCell ref="D91:E91"/>
    <mergeCell ref="D92:E92"/>
    <mergeCell ref="D80:E80"/>
    <mergeCell ref="D81:E81"/>
    <mergeCell ref="D82:E82"/>
    <mergeCell ref="D83:E83"/>
    <mergeCell ref="D84:E84"/>
    <mergeCell ref="D63:E63"/>
    <mergeCell ref="D65:E65"/>
    <mergeCell ref="D75:E75"/>
    <mergeCell ref="D76:E76"/>
    <mergeCell ref="D78:E78"/>
    <mergeCell ref="D53:E53"/>
    <mergeCell ref="D55:E55"/>
    <mergeCell ref="D56:E56"/>
    <mergeCell ref="D59:E59"/>
    <mergeCell ref="B61:E61"/>
    <mergeCell ref="C17:E17"/>
    <mergeCell ref="C18:E18"/>
    <mergeCell ref="C23:E23"/>
    <mergeCell ref="D49:E49"/>
    <mergeCell ref="D51:E51"/>
    <mergeCell ref="B2:E2"/>
    <mergeCell ref="D8:E8"/>
    <mergeCell ref="D13:E13"/>
    <mergeCell ref="D14:E14"/>
    <mergeCell ref="B15:B16"/>
    <mergeCell ref="C15:E16"/>
  </mergeCells>
  <phoneticPr fontId="2"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tabColor indexed="11"/>
    <pageSetUpPr fitToPage="1"/>
  </sheetPr>
  <dimension ref="A1:AD80"/>
  <sheetViews>
    <sheetView showGridLines="0" showRowColHeaders="0" showZeros="0" workbookViewId="0">
      <pane ySplit="9" topLeftCell="A10" activePane="bottomLeft" state="frozen"/>
      <selection activeCell="A2" sqref="A2"/>
      <selection pane="bottomLeft" activeCell="P7" sqref="P7"/>
    </sheetView>
  </sheetViews>
  <sheetFormatPr defaultColWidth="9.140625" defaultRowHeight="12" customHeight="1" x14ac:dyDescent="0.2"/>
  <cols>
    <col min="1" max="1" width="1.7109375" style="1" customWidth="1"/>
    <col min="2" max="2" width="12.7109375" style="42" customWidth="1"/>
    <col min="3" max="3" width="3.7109375" style="2" customWidth="1"/>
    <col min="4" max="4" width="10.7109375" style="2" customWidth="1"/>
    <col min="5" max="8" width="8.7109375" style="2" customWidth="1"/>
    <col min="9" max="9" width="9.7109375" style="2" customWidth="1"/>
    <col min="10" max="10" width="7.7109375" style="2" customWidth="1"/>
    <col min="11" max="12" width="9.28515625" style="2" customWidth="1"/>
    <col min="13" max="14" width="8.7109375" style="2" customWidth="1"/>
    <col min="15" max="15" width="9.7109375" style="2" customWidth="1"/>
    <col min="16" max="16" width="8.7109375" style="2" customWidth="1"/>
    <col min="17" max="16384" width="9.140625" style="1"/>
  </cols>
  <sheetData>
    <row r="1" spans="1:30" ht="12" customHeight="1" thickBot="1" x14ac:dyDescent="0.25">
      <c r="A1" s="1016"/>
      <c r="B1" s="1237"/>
      <c r="C1" s="1046"/>
      <c r="D1" s="1046"/>
      <c r="E1" s="1046"/>
      <c r="F1" s="1046"/>
      <c r="G1" s="1046"/>
      <c r="H1" s="1046"/>
      <c r="I1" s="1046"/>
      <c r="J1" s="1046"/>
      <c r="K1" s="1046"/>
      <c r="L1" s="1046"/>
      <c r="M1" s="1046"/>
      <c r="N1" s="1046"/>
      <c r="O1" s="1046"/>
      <c r="P1" s="1046"/>
      <c r="Q1" s="1016"/>
      <c r="R1" s="1016"/>
      <c r="S1" s="1016"/>
      <c r="T1" s="1016"/>
      <c r="U1" s="1016"/>
      <c r="V1" s="1016"/>
      <c r="W1" s="1016"/>
      <c r="X1" s="1016"/>
      <c r="Y1" s="1016"/>
      <c r="Z1" s="1016"/>
      <c r="AA1" s="1016"/>
      <c r="AB1" s="1016"/>
      <c r="AC1" s="1016"/>
      <c r="AD1" s="1016"/>
    </row>
    <row r="2" spans="1:30" ht="12" customHeight="1" thickBot="1" x14ac:dyDescent="0.25">
      <c r="A2" s="1016"/>
      <c r="B2" s="1482"/>
      <c r="C2" s="1483"/>
      <c r="D2" s="1490" t="s">
        <v>3010</v>
      </c>
      <c r="E2" s="1490"/>
      <c r="F2" s="1490"/>
      <c r="G2" s="1490"/>
      <c r="H2" s="1490"/>
      <c r="I2" s="1490"/>
      <c r="J2" s="1490"/>
      <c r="K2" s="1490"/>
      <c r="L2" s="1490"/>
      <c r="M2" s="1490"/>
      <c r="N2" s="1490"/>
      <c r="O2" s="1490"/>
      <c r="P2" s="1491"/>
      <c r="Q2" s="1016"/>
      <c r="R2" s="1016"/>
      <c r="S2" s="1016"/>
      <c r="T2" s="1016"/>
      <c r="U2" s="1016"/>
      <c r="V2" s="1016"/>
      <c r="W2" s="1016"/>
      <c r="X2" s="1016"/>
      <c r="Y2" s="1016"/>
      <c r="Z2" s="1016"/>
      <c r="AA2" s="1016"/>
      <c r="AB2" s="1016"/>
      <c r="AC2" s="1016"/>
      <c r="AD2" s="1016"/>
    </row>
    <row r="3" spans="1:30" ht="12" customHeight="1" x14ac:dyDescent="0.2">
      <c r="A3" s="1016"/>
      <c r="B3" s="1484"/>
      <c r="C3" s="1485"/>
      <c r="D3" s="864" t="s">
        <v>1752</v>
      </c>
      <c r="E3" s="1492"/>
      <c r="F3" s="1493"/>
      <c r="G3" s="1494"/>
      <c r="H3" s="1454" t="s">
        <v>1201</v>
      </c>
      <c r="I3" s="1455"/>
      <c r="J3" s="1307">
        <f>Cities!D2</f>
        <v>30</v>
      </c>
      <c r="K3" s="1454" t="s">
        <v>1205</v>
      </c>
      <c r="L3" s="1455"/>
      <c r="M3" s="1229">
        <v>70</v>
      </c>
      <c r="N3" s="1467" t="s">
        <v>3008</v>
      </c>
      <c r="O3" s="1467"/>
      <c r="P3" s="1031">
        <f>'Form N1'!M3-'Form N1'!J3</f>
        <v>40</v>
      </c>
      <c r="Q3" s="1016"/>
      <c r="R3" s="1016"/>
      <c r="S3" s="1016"/>
      <c r="T3" s="1016"/>
      <c r="U3" s="1016"/>
      <c r="V3" s="1016"/>
      <c r="W3" s="1016"/>
      <c r="X3" s="1016"/>
      <c r="Y3" s="1016"/>
      <c r="Z3" s="1016"/>
      <c r="AA3" s="1016"/>
      <c r="AB3" s="1016"/>
      <c r="AC3" s="1016"/>
      <c r="AD3" s="1016"/>
    </row>
    <row r="4" spans="1:30" ht="12" customHeight="1" x14ac:dyDescent="0.2">
      <c r="A4" s="1016"/>
      <c r="B4" s="1484"/>
      <c r="C4" s="1485"/>
      <c r="D4" s="409" t="s">
        <v>3004</v>
      </c>
      <c r="E4" s="1458" t="s">
        <v>1595</v>
      </c>
      <c r="F4" s="1459"/>
      <c r="G4" s="1460"/>
      <c r="H4" s="1456" t="s">
        <v>1202</v>
      </c>
      <c r="I4" s="1457"/>
      <c r="J4" s="1308">
        <f>Cities!E2</f>
        <v>106</v>
      </c>
      <c r="K4" s="1456" t="s">
        <v>1206</v>
      </c>
      <c r="L4" s="1457"/>
      <c r="M4" s="1225">
        <v>75</v>
      </c>
      <c r="N4" s="1468" t="s">
        <v>3009</v>
      </c>
      <c r="O4" s="1468"/>
      <c r="P4" s="1032">
        <f>(('Form N1'!J4-KW!C49*KW!C1)-'Form N1'!M4)</f>
        <v>24.099999999999994</v>
      </c>
      <c r="Q4" s="1016"/>
      <c r="R4" s="1016"/>
      <c r="S4" s="1016"/>
      <c r="T4" s="1016"/>
      <c r="U4" s="1016"/>
      <c r="V4" s="1016"/>
      <c r="W4" s="1016"/>
      <c r="X4" s="1016"/>
      <c r="Y4" s="1016"/>
      <c r="Z4" s="1016"/>
      <c r="AA4" s="1016"/>
      <c r="AB4" s="1016"/>
      <c r="AC4" s="1016"/>
      <c r="AD4" s="1016"/>
    </row>
    <row r="5" spans="1:30" ht="12" customHeight="1" x14ac:dyDescent="0.2">
      <c r="A5" s="1016"/>
      <c r="B5" s="1484"/>
      <c r="C5" s="1485"/>
      <c r="D5" s="409" t="s">
        <v>3005</v>
      </c>
      <c r="E5" s="1458" t="s">
        <v>3188</v>
      </c>
      <c r="F5" s="1459"/>
      <c r="G5" s="1460"/>
      <c r="H5" s="1456" t="s">
        <v>2652</v>
      </c>
      <c r="I5" s="1457"/>
      <c r="J5" s="1308">
        <f>Cities!F2</f>
        <v>66</v>
      </c>
      <c r="K5" s="1456" t="s">
        <v>1207</v>
      </c>
      <c r="L5" s="1457"/>
      <c r="M5" s="1230">
        <v>50</v>
      </c>
      <c r="N5" s="1468" t="s">
        <v>1203</v>
      </c>
      <c r="O5" s="1468"/>
      <c r="P5" s="1032">
        <f>HLOOKUP(M5,Cities!G1:I2,2,FALSE)</f>
        <v>-32</v>
      </c>
      <c r="Q5" s="1016"/>
      <c r="R5" s="1016"/>
      <c r="S5" s="1016"/>
      <c r="T5" s="1016"/>
      <c r="U5" s="1016"/>
      <c r="V5" s="1016"/>
      <c r="W5" s="1016"/>
      <c r="X5" s="1016"/>
      <c r="Y5" s="1016"/>
      <c r="Z5" s="1016"/>
      <c r="AA5" s="1016"/>
      <c r="AB5" s="1016"/>
      <c r="AC5" s="1016"/>
      <c r="AD5" s="1016"/>
    </row>
    <row r="6" spans="1:30" ht="12" customHeight="1" x14ac:dyDescent="0.2">
      <c r="A6" s="1016"/>
      <c r="B6" s="1484"/>
      <c r="C6" s="1485"/>
      <c r="D6" s="1029" t="s">
        <v>2547</v>
      </c>
      <c r="E6" s="1458" t="s">
        <v>829</v>
      </c>
      <c r="F6" s="1459"/>
      <c r="G6" s="1460"/>
      <c r="H6" s="1456" t="s">
        <v>3481</v>
      </c>
      <c r="I6" s="1457"/>
      <c r="J6" s="1019">
        <f>Cities!B2</f>
        <v>2162</v>
      </c>
      <c r="K6" s="1456" t="s">
        <v>3480</v>
      </c>
      <c r="L6" s="1457"/>
      <c r="M6" s="1019">
        <f>Cities!C2</f>
        <v>36</v>
      </c>
      <c r="N6" s="1468" t="s">
        <v>1204</v>
      </c>
      <c r="O6" s="1468"/>
      <c r="P6" s="1032" t="str">
        <f>Cities!J2</f>
        <v>H</v>
      </c>
      <c r="Q6" s="1016"/>
      <c r="R6" s="1016"/>
      <c r="S6" s="1016"/>
      <c r="T6" s="1016"/>
      <c r="U6" s="1016"/>
      <c r="V6" s="1016"/>
      <c r="W6" s="1016"/>
      <c r="X6" s="1016"/>
      <c r="Y6" s="1016"/>
      <c r="Z6" s="1016"/>
      <c r="AA6" s="1016"/>
      <c r="AB6" s="1016"/>
      <c r="AC6" s="1016"/>
      <c r="AD6" s="1016"/>
    </row>
    <row r="7" spans="1:30" ht="12" customHeight="1" thickBot="1" x14ac:dyDescent="0.25">
      <c r="A7" s="1016"/>
      <c r="B7" s="1486"/>
      <c r="C7" s="1487"/>
      <c r="D7" s="861" t="s">
        <v>2429</v>
      </c>
      <c r="E7" s="1227"/>
      <c r="F7" s="1072" t="s">
        <v>2430</v>
      </c>
      <c r="G7" s="1228"/>
      <c r="H7" s="1488" t="s">
        <v>3011</v>
      </c>
      <c r="I7" s="1489"/>
      <c r="J7" s="1073">
        <f>VLOOKUP('Form N1'!J6,KW!A10:B47,2)</f>
        <v>0.93</v>
      </c>
      <c r="K7" s="1474" t="s">
        <v>1208</v>
      </c>
      <c r="L7" s="1475"/>
      <c r="M7" s="1074" t="str">
        <f>'Wrk A'!C15</f>
        <v>Jul &amp; Aug</v>
      </c>
      <c r="N7" s="1495" t="s">
        <v>3007</v>
      </c>
      <c r="O7" s="1495"/>
      <c r="P7" s="1231">
        <v>0.5</v>
      </c>
      <c r="Q7" s="1016"/>
      <c r="R7" s="1016"/>
      <c r="S7" s="1016"/>
      <c r="T7" s="1016"/>
      <c r="U7" s="1016"/>
      <c r="V7" s="1016"/>
      <c r="W7" s="1016"/>
      <c r="X7" s="1016"/>
      <c r="Y7" s="1016"/>
      <c r="Z7" s="1016"/>
      <c r="AA7" s="1016"/>
      <c r="AB7" s="1016"/>
      <c r="AC7" s="1016"/>
      <c r="AD7" s="1016"/>
    </row>
    <row r="8" spans="1:30" ht="11.1" customHeight="1" x14ac:dyDescent="0.2">
      <c r="A8" s="1016"/>
      <c r="B8" s="1497" t="s">
        <v>3402</v>
      </c>
      <c r="C8" s="1498"/>
      <c r="D8" s="1461" t="s">
        <v>2507</v>
      </c>
      <c r="E8" s="1462"/>
      <c r="F8" s="1462"/>
      <c r="G8" s="1462"/>
      <c r="H8" s="1462"/>
      <c r="I8" s="1463"/>
      <c r="J8" s="1461" t="s">
        <v>3403</v>
      </c>
      <c r="K8" s="1469" t="s">
        <v>1175</v>
      </c>
      <c r="L8" s="1470"/>
      <c r="M8" s="1472" t="s">
        <v>3404</v>
      </c>
      <c r="N8" s="1469" t="s">
        <v>1179</v>
      </c>
      <c r="O8" s="1470"/>
      <c r="P8" s="1471"/>
      <c r="Q8" s="1016"/>
      <c r="R8" s="1016"/>
      <c r="S8" s="1016"/>
      <c r="T8" s="1016"/>
      <c r="U8" s="1016"/>
      <c r="V8" s="1016"/>
      <c r="W8" s="1016"/>
      <c r="X8" s="1016"/>
      <c r="Y8" s="1016"/>
      <c r="Z8" s="1016"/>
      <c r="AA8" s="1016"/>
      <c r="AB8" s="1016"/>
      <c r="AC8" s="1016"/>
      <c r="AD8" s="1016"/>
    </row>
    <row r="9" spans="1:30" ht="11.1" customHeight="1" thickBot="1" x14ac:dyDescent="0.25">
      <c r="A9" s="1016"/>
      <c r="B9" s="1499"/>
      <c r="C9" s="1500"/>
      <c r="D9" s="1464"/>
      <c r="E9" s="1465"/>
      <c r="F9" s="1465"/>
      <c r="G9" s="1465"/>
      <c r="H9" s="1465"/>
      <c r="I9" s="1466"/>
      <c r="J9" s="1464"/>
      <c r="K9" s="1192" t="s">
        <v>3983</v>
      </c>
      <c r="L9" s="1033" t="s">
        <v>3984</v>
      </c>
      <c r="M9" s="1473"/>
      <c r="N9" s="1192" t="s">
        <v>3983</v>
      </c>
      <c r="O9" s="1033" t="s">
        <v>1455</v>
      </c>
      <c r="P9" s="1034" t="s">
        <v>1456</v>
      </c>
      <c r="Q9" s="1016"/>
      <c r="R9" s="1016"/>
      <c r="S9" s="1016"/>
      <c r="T9" s="1016"/>
      <c r="U9" s="1016"/>
      <c r="V9" s="1016"/>
      <c r="W9" s="1016"/>
      <c r="X9" s="1016"/>
      <c r="Y9" s="1016"/>
      <c r="Z9" s="1016"/>
      <c r="AA9" s="1016"/>
      <c r="AB9" s="1016"/>
      <c r="AC9" s="1016"/>
      <c r="AD9" s="1016"/>
    </row>
    <row r="10" spans="1:30" ht="12" customHeight="1" thickBot="1" x14ac:dyDescent="0.25">
      <c r="A10" s="1016"/>
      <c r="B10" s="1275" t="s">
        <v>2551</v>
      </c>
      <c r="C10" s="1188" t="s">
        <v>481</v>
      </c>
      <c r="D10" s="1453">
        <f>'Wrk B'!D14</f>
        <v>0</v>
      </c>
      <c r="E10" s="1438"/>
      <c r="F10" s="1438"/>
      <c r="G10" s="1438"/>
      <c r="H10" s="1438"/>
      <c r="I10" s="1438"/>
      <c r="J10" s="1199">
        <f>'Wrk B'!F14</f>
        <v>0</v>
      </c>
      <c r="K10" s="1202" t="str">
        <f>'Wrk B'!L14</f>
        <v/>
      </c>
      <c r="L10" s="1042" t="str">
        <f>'Wrk B'!T14</f>
        <v/>
      </c>
      <c r="M10" s="1203">
        <f>GlassI!AX5</f>
        <v>0</v>
      </c>
      <c r="N10" s="1193" t="str">
        <f t="shared" ref="N10:N22" si="0">IF(K10="","",K10*$M10)</f>
        <v/>
      </c>
      <c r="O10" s="1043" t="str">
        <f t="shared" ref="O10:O22" si="1">IF(N10="","",L10*$M10)</f>
        <v/>
      </c>
      <c r="P10" s="1050"/>
      <c r="Q10" s="1016"/>
      <c r="R10" s="1016"/>
      <c r="S10" s="1016"/>
      <c r="T10" s="1016"/>
      <c r="U10" s="1016"/>
      <c r="V10" s="1016"/>
      <c r="W10" s="1016"/>
      <c r="X10" s="1016"/>
      <c r="Y10" s="1016"/>
      <c r="Z10" s="1016"/>
      <c r="AA10" s="1016"/>
      <c r="AB10" s="1016"/>
      <c r="AC10" s="1016"/>
      <c r="AD10" s="1016"/>
    </row>
    <row r="11" spans="1:30" ht="12" customHeight="1" x14ac:dyDescent="0.2">
      <c r="A11" s="1016"/>
      <c r="B11" s="1446" t="s">
        <v>3399</v>
      </c>
      <c r="C11" s="1189" t="s">
        <v>482</v>
      </c>
      <c r="D11" s="1433">
        <f>'Wrk B'!D15</f>
        <v>0</v>
      </c>
      <c r="E11" s="1434"/>
      <c r="F11" s="1434"/>
      <c r="G11" s="1434"/>
      <c r="H11" s="1434"/>
      <c r="I11" s="1434"/>
      <c r="J11" s="1200">
        <f>'Wrk B'!F15</f>
        <v>0</v>
      </c>
      <c r="K11" s="1204" t="str">
        <f>'Wrk B'!L15</f>
        <v/>
      </c>
      <c r="L11" s="66" t="str">
        <f>'Wrk B'!T15</f>
        <v/>
      </c>
      <c r="M11" s="1205">
        <f>GlassI!AX6</f>
        <v>0</v>
      </c>
      <c r="N11" s="1194" t="str">
        <f t="shared" si="0"/>
        <v/>
      </c>
      <c r="O11" s="285" t="str">
        <f t="shared" si="1"/>
        <v/>
      </c>
      <c r="P11" s="1051"/>
      <c r="Q11" s="1016"/>
      <c r="R11" s="1016"/>
      <c r="S11" s="1016"/>
      <c r="T11" s="1016"/>
      <c r="U11" s="1016"/>
      <c r="V11" s="1016"/>
      <c r="W11" s="1016"/>
      <c r="X11" s="1016"/>
      <c r="Y11" s="1016"/>
      <c r="Z11" s="1016"/>
      <c r="AA11" s="1016"/>
      <c r="AB11" s="1016"/>
      <c r="AC11" s="1016"/>
      <c r="AD11" s="1016"/>
    </row>
    <row r="12" spans="1:30" ht="12" customHeight="1" x14ac:dyDescent="0.2">
      <c r="A12" s="1016"/>
      <c r="B12" s="1447"/>
      <c r="C12" s="1189" t="s">
        <v>483</v>
      </c>
      <c r="D12" s="1433">
        <f>'Wrk B'!D16</f>
        <v>0</v>
      </c>
      <c r="E12" s="1434"/>
      <c r="F12" s="1434"/>
      <c r="G12" s="1434"/>
      <c r="H12" s="1434"/>
      <c r="I12" s="1434"/>
      <c r="J12" s="1200">
        <f>'Wrk B'!F16</f>
        <v>0</v>
      </c>
      <c r="K12" s="1204" t="str">
        <f>'Wrk B'!L16</f>
        <v/>
      </c>
      <c r="L12" s="66" t="str">
        <f>'Wrk B'!T16</f>
        <v/>
      </c>
      <c r="M12" s="1205">
        <f>GlassI!AX7</f>
        <v>0</v>
      </c>
      <c r="N12" s="1194" t="str">
        <f t="shared" si="0"/>
        <v/>
      </c>
      <c r="O12" s="285" t="str">
        <f t="shared" si="1"/>
        <v/>
      </c>
      <c r="P12" s="1051"/>
      <c r="Q12" s="1016"/>
      <c r="R12" s="1016"/>
      <c r="S12" s="1016"/>
      <c r="T12" s="1016"/>
      <c r="U12" s="1016"/>
      <c r="V12" s="1016"/>
      <c r="W12" s="1016"/>
      <c r="X12" s="1016"/>
      <c r="Y12" s="1016"/>
      <c r="Z12" s="1016"/>
      <c r="AA12" s="1016"/>
      <c r="AB12" s="1016"/>
      <c r="AC12" s="1016"/>
      <c r="AD12" s="1016"/>
    </row>
    <row r="13" spans="1:30" ht="12" customHeight="1" x14ac:dyDescent="0.2">
      <c r="A13" s="1016"/>
      <c r="B13" s="1447"/>
      <c r="C13" s="1189" t="s">
        <v>484</v>
      </c>
      <c r="D13" s="1433">
        <f>'Wrk B'!D17</f>
        <v>0</v>
      </c>
      <c r="E13" s="1434"/>
      <c r="F13" s="1434"/>
      <c r="G13" s="1434"/>
      <c r="H13" s="1434"/>
      <c r="I13" s="1434"/>
      <c r="J13" s="1200">
        <f>'Wrk B'!F17</f>
        <v>0</v>
      </c>
      <c r="K13" s="1204" t="str">
        <f>'Wrk B'!L17</f>
        <v/>
      </c>
      <c r="L13" s="66" t="str">
        <f>'Wrk B'!T17</f>
        <v/>
      </c>
      <c r="M13" s="1205">
        <f>GlassI!AX8</f>
        <v>0</v>
      </c>
      <c r="N13" s="1194" t="str">
        <f t="shared" si="0"/>
        <v/>
      </c>
      <c r="O13" s="285" t="str">
        <f t="shared" si="1"/>
        <v/>
      </c>
      <c r="P13" s="1051"/>
      <c r="Q13" s="1016"/>
      <c r="R13" s="1016"/>
      <c r="S13" s="1016"/>
      <c r="T13" s="1016"/>
      <c r="U13" s="1016"/>
      <c r="V13" s="1016"/>
      <c r="W13" s="1016"/>
      <c r="X13" s="1016"/>
      <c r="Y13" s="1016"/>
      <c r="Z13" s="1016"/>
      <c r="AA13" s="1016"/>
      <c r="AB13" s="1016"/>
      <c r="AC13" s="1016"/>
      <c r="AD13" s="1016"/>
    </row>
    <row r="14" spans="1:30" ht="12" customHeight="1" x14ac:dyDescent="0.2">
      <c r="A14" s="1016"/>
      <c r="B14" s="1447"/>
      <c r="C14" s="1189" t="s">
        <v>485</v>
      </c>
      <c r="D14" s="1433">
        <f>'Wrk B'!D18</f>
        <v>0</v>
      </c>
      <c r="E14" s="1434"/>
      <c r="F14" s="1434"/>
      <c r="G14" s="1434"/>
      <c r="H14" s="1434"/>
      <c r="I14" s="1434"/>
      <c r="J14" s="1200">
        <f>'Wrk B'!F18</f>
        <v>0</v>
      </c>
      <c r="K14" s="1204" t="str">
        <f>'Wrk B'!L18</f>
        <v/>
      </c>
      <c r="L14" s="66" t="str">
        <f>'Wrk B'!T18</f>
        <v/>
      </c>
      <c r="M14" s="1205">
        <f>GlassI!AX9</f>
        <v>0</v>
      </c>
      <c r="N14" s="1194" t="str">
        <f t="shared" si="0"/>
        <v/>
      </c>
      <c r="O14" s="285" t="str">
        <f t="shared" si="1"/>
        <v/>
      </c>
      <c r="P14" s="1051"/>
      <c r="Q14" s="1016"/>
      <c r="R14" s="1016"/>
      <c r="S14" s="1016"/>
      <c r="T14" s="1016"/>
      <c r="U14" s="1016"/>
      <c r="V14" s="1016"/>
      <c r="W14" s="1016"/>
      <c r="X14" s="1016"/>
      <c r="Y14" s="1016"/>
      <c r="Z14" s="1016"/>
      <c r="AA14" s="1016"/>
      <c r="AB14" s="1016"/>
      <c r="AC14" s="1016"/>
      <c r="AD14" s="1016"/>
    </row>
    <row r="15" spans="1:30" ht="12" customHeight="1" x14ac:dyDescent="0.2">
      <c r="A15" s="1016"/>
      <c r="B15" s="1447"/>
      <c r="C15" s="1189" t="s">
        <v>486</v>
      </c>
      <c r="D15" s="1433">
        <f>'Wrk B'!D19</f>
        <v>0</v>
      </c>
      <c r="E15" s="1434"/>
      <c r="F15" s="1434"/>
      <c r="G15" s="1434"/>
      <c r="H15" s="1434"/>
      <c r="I15" s="1434"/>
      <c r="J15" s="1200">
        <f>'Wrk B'!F19</f>
        <v>0</v>
      </c>
      <c r="K15" s="1204" t="str">
        <f>'Wrk B'!L19</f>
        <v/>
      </c>
      <c r="L15" s="66" t="str">
        <f>'Wrk B'!T19</f>
        <v/>
      </c>
      <c r="M15" s="1205">
        <f>GlassI!AX10</f>
        <v>0</v>
      </c>
      <c r="N15" s="1194" t="str">
        <f t="shared" si="0"/>
        <v/>
      </c>
      <c r="O15" s="285" t="str">
        <f t="shared" si="1"/>
        <v/>
      </c>
      <c r="P15" s="1051"/>
      <c r="Q15" s="1016"/>
      <c r="R15" s="1016"/>
      <c r="S15" s="1016"/>
      <c r="T15" s="1016"/>
      <c r="U15" s="1016"/>
      <c r="V15" s="1016"/>
      <c r="W15" s="1016"/>
      <c r="X15" s="1016"/>
      <c r="Y15" s="1016"/>
      <c r="Z15" s="1016"/>
      <c r="AA15" s="1016"/>
      <c r="AB15" s="1016"/>
      <c r="AC15" s="1016"/>
      <c r="AD15" s="1016"/>
    </row>
    <row r="16" spans="1:30" ht="12" customHeight="1" x14ac:dyDescent="0.2">
      <c r="A16" s="1016"/>
      <c r="B16" s="1447"/>
      <c r="C16" s="1189" t="s">
        <v>487</v>
      </c>
      <c r="D16" s="1433">
        <f>'Wrk B'!D20</f>
        <v>0</v>
      </c>
      <c r="E16" s="1434"/>
      <c r="F16" s="1434"/>
      <c r="G16" s="1434"/>
      <c r="H16" s="1434"/>
      <c r="I16" s="1434"/>
      <c r="J16" s="1200">
        <f>'Wrk B'!F20</f>
        <v>0</v>
      </c>
      <c r="K16" s="1204" t="str">
        <f>'Wrk B'!L20</f>
        <v/>
      </c>
      <c r="L16" s="66" t="str">
        <f>'Wrk B'!T20</f>
        <v/>
      </c>
      <c r="M16" s="1205">
        <f>GlassI!AX11</f>
        <v>0</v>
      </c>
      <c r="N16" s="1194" t="str">
        <f t="shared" si="0"/>
        <v/>
      </c>
      <c r="O16" s="285" t="str">
        <f t="shared" si="1"/>
        <v/>
      </c>
      <c r="P16" s="1051"/>
      <c r="Q16" s="1016"/>
      <c r="R16" s="1016"/>
      <c r="S16" s="1016"/>
      <c r="T16" s="1016"/>
      <c r="U16" s="1016"/>
      <c r="V16" s="1016"/>
      <c r="W16" s="1016"/>
      <c r="X16" s="1016"/>
      <c r="Y16" s="1016"/>
      <c r="Z16" s="1016"/>
      <c r="AA16" s="1016"/>
      <c r="AB16" s="1016"/>
      <c r="AC16" s="1016"/>
      <c r="AD16" s="1016"/>
    </row>
    <row r="17" spans="1:30" ht="12" customHeight="1" thickBot="1" x14ac:dyDescent="0.25">
      <c r="A17" s="1016"/>
      <c r="B17" s="1448"/>
      <c r="C17" s="1190" t="s">
        <v>488</v>
      </c>
      <c r="D17" s="1435">
        <f>'Wrk B'!D21</f>
        <v>0</v>
      </c>
      <c r="E17" s="1436"/>
      <c r="F17" s="1436"/>
      <c r="G17" s="1436"/>
      <c r="H17" s="1436"/>
      <c r="I17" s="1436"/>
      <c r="J17" s="1201">
        <f>'Wrk B'!F21</f>
        <v>0</v>
      </c>
      <c r="K17" s="1206" t="str">
        <f>'Wrk B'!L21</f>
        <v/>
      </c>
      <c r="L17" s="1044" t="str">
        <f>'Wrk B'!T21</f>
        <v/>
      </c>
      <c r="M17" s="1207">
        <f>GlassI!AX12</f>
        <v>0</v>
      </c>
      <c r="N17" s="1195" t="str">
        <f t="shared" si="0"/>
        <v/>
      </c>
      <c r="O17" s="1022" t="str">
        <f t="shared" si="1"/>
        <v/>
      </c>
      <c r="P17" s="1052"/>
      <c r="Q17" s="1016"/>
      <c r="R17" s="1016"/>
      <c r="S17" s="1016"/>
      <c r="T17" s="1016"/>
      <c r="U17" s="1016"/>
      <c r="V17" s="1016"/>
      <c r="W17" s="1016"/>
      <c r="X17" s="1016"/>
      <c r="Y17" s="1016"/>
      <c r="Z17" s="1016"/>
      <c r="AA17" s="1016"/>
      <c r="AB17" s="1016"/>
      <c r="AC17" s="1016"/>
      <c r="AD17" s="1016"/>
    </row>
    <row r="18" spans="1:30" ht="12" customHeight="1" thickBot="1" x14ac:dyDescent="0.25">
      <c r="A18" s="1016"/>
      <c r="B18" s="1276" t="s">
        <v>2551</v>
      </c>
      <c r="C18" s="1188" t="s">
        <v>481</v>
      </c>
      <c r="D18" s="1453">
        <f>'Wrk C'!E14</f>
        <v>0</v>
      </c>
      <c r="E18" s="1438"/>
      <c r="F18" s="1438"/>
      <c r="G18" s="1438"/>
      <c r="H18" s="1438"/>
      <c r="I18" s="1438"/>
      <c r="J18" s="1199">
        <f>'Wrk C'!F14</f>
        <v>0</v>
      </c>
      <c r="K18" s="1202" t="str">
        <f>'Wrk C'!P47</f>
        <v/>
      </c>
      <c r="L18" s="1042" t="str">
        <f>'Wrk C'!Q47</f>
        <v/>
      </c>
      <c r="M18" s="1208">
        <f>'Wrk C'!H28</f>
        <v>0</v>
      </c>
      <c r="N18" s="1193" t="str">
        <f t="shared" si="0"/>
        <v/>
      </c>
      <c r="O18" s="1043" t="str">
        <f t="shared" si="1"/>
        <v/>
      </c>
      <c r="P18" s="1050"/>
      <c r="Q18" s="1016"/>
      <c r="R18" s="1016"/>
      <c r="S18" s="1016"/>
      <c r="T18" s="1016"/>
      <c r="U18" s="1016"/>
      <c r="V18" s="1016"/>
      <c r="W18" s="1016"/>
      <c r="X18" s="1016"/>
      <c r="Y18" s="1016"/>
      <c r="Z18" s="1016"/>
      <c r="AA18" s="1016"/>
      <c r="AB18" s="1016"/>
      <c r="AC18" s="1016"/>
      <c r="AD18" s="1016"/>
    </row>
    <row r="19" spans="1:30" ht="12" customHeight="1" x14ac:dyDescent="0.2">
      <c r="A19" s="1016"/>
      <c r="B19" s="1449" t="s">
        <v>1181</v>
      </c>
      <c r="C19" s="1189" t="s">
        <v>482</v>
      </c>
      <c r="D19" s="1433">
        <f>'Wrk C'!E15</f>
        <v>0</v>
      </c>
      <c r="E19" s="1434"/>
      <c r="F19" s="1434"/>
      <c r="G19" s="1434"/>
      <c r="H19" s="1434"/>
      <c r="I19" s="1434"/>
      <c r="J19" s="1200">
        <f>'Wrk C'!F15</f>
        <v>0</v>
      </c>
      <c r="K19" s="1204" t="str">
        <f>'Wrk C'!P48</f>
        <v/>
      </c>
      <c r="L19" s="66" t="str">
        <f>'Wrk C'!Q48</f>
        <v/>
      </c>
      <c r="M19" s="1208">
        <f>'Wrk C'!H29</f>
        <v>0</v>
      </c>
      <c r="N19" s="1194" t="str">
        <f t="shared" si="0"/>
        <v/>
      </c>
      <c r="O19" s="285" t="str">
        <f t="shared" si="1"/>
        <v/>
      </c>
      <c r="P19" s="1051"/>
      <c r="Q19" s="1016"/>
      <c r="R19" s="1016"/>
      <c r="S19" s="1016"/>
      <c r="T19" s="1016"/>
      <c r="U19" s="1016"/>
      <c r="V19" s="1016"/>
      <c r="W19" s="1016"/>
      <c r="X19" s="1016"/>
      <c r="Y19" s="1016"/>
      <c r="Z19" s="1016"/>
      <c r="AA19" s="1016"/>
      <c r="AB19" s="1016"/>
      <c r="AC19" s="1016"/>
      <c r="AD19" s="1016"/>
    </row>
    <row r="20" spans="1:30" ht="12" customHeight="1" x14ac:dyDescent="0.2">
      <c r="A20" s="1016"/>
      <c r="B20" s="1450"/>
      <c r="C20" s="1189" t="s">
        <v>483</v>
      </c>
      <c r="D20" s="1433">
        <f>'Wrk C'!E16</f>
        <v>0</v>
      </c>
      <c r="E20" s="1434"/>
      <c r="F20" s="1434"/>
      <c r="G20" s="1434"/>
      <c r="H20" s="1434"/>
      <c r="I20" s="1434"/>
      <c r="J20" s="1200">
        <f>'Wrk C'!F16</f>
        <v>0</v>
      </c>
      <c r="K20" s="1204" t="str">
        <f>'Wrk C'!P49</f>
        <v/>
      </c>
      <c r="L20" s="66" t="str">
        <f>'Wrk C'!Q49</f>
        <v/>
      </c>
      <c r="M20" s="1208">
        <f>'Wrk C'!H30</f>
        <v>0</v>
      </c>
      <c r="N20" s="1194" t="str">
        <f t="shared" si="0"/>
        <v/>
      </c>
      <c r="O20" s="285" t="str">
        <f t="shared" si="1"/>
        <v/>
      </c>
      <c r="P20" s="1051"/>
      <c r="Q20" s="1016"/>
      <c r="R20" s="1016"/>
      <c r="S20" s="1016"/>
      <c r="T20" s="1016"/>
      <c r="U20" s="1016"/>
      <c r="V20" s="1016"/>
      <c r="W20" s="1016"/>
      <c r="X20" s="1016"/>
      <c r="Y20" s="1016"/>
      <c r="Z20" s="1016"/>
      <c r="AA20" s="1016"/>
      <c r="AB20" s="1016"/>
      <c r="AC20" s="1016"/>
      <c r="AD20" s="1016"/>
    </row>
    <row r="21" spans="1:30" ht="12" customHeight="1" x14ac:dyDescent="0.2">
      <c r="A21" s="1016"/>
      <c r="B21" s="1450"/>
      <c r="C21" s="1189" t="s">
        <v>484</v>
      </c>
      <c r="D21" s="1433">
        <f>'Wrk C'!E17</f>
        <v>0</v>
      </c>
      <c r="E21" s="1434"/>
      <c r="F21" s="1434"/>
      <c r="G21" s="1434"/>
      <c r="H21" s="1434"/>
      <c r="I21" s="1434"/>
      <c r="J21" s="1200">
        <f>'Wrk C'!F17</f>
        <v>0</v>
      </c>
      <c r="K21" s="1204" t="str">
        <f>'Wrk C'!P50</f>
        <v/>
      </c>
      <c r="L21" s="66" t="str">
        <f>'Wrk C'!Q50</f>
        <v/>
      </c>
      <c r="M21" s="1208">
        <f>'Wrk C'!H31</f>
        <v>0</v>
      </c>
      <c r="N21" s="1194" t="str">
        <f t="shared" si="0"/>
        <v/>
      </c>
      <c r="O21" s="285" t="str">
        <f t="shared" si="1"/>
        <v/>
      </c>
      <c r="P21" s="1051"/>
      <c r="Q21" s="1016"/>
      <c r="R21" s="1016"/>
      <c r="S21" s="1016"/>
      <c r="T21" s="1016"/>
      <c r="U21" s="1016"/>
      <c r="V21" s="1016"/>
      <c r="W21" s="1016"/>
      <c r="X21" s="1016"/>
      <c r="Y21" s="1016"/>
      <c r="Z21" s="1016"/>
      <c r="AA21" s="1016"/>
      <c r="AB21" s="1016"/>
      <c r="AC21" s="1016"/>
      <c r="AD21" s="1016"/>
    </row>
    <row r="22" spans="1:30" ht="12" customHeight="1" thickBot="1" x14ac:dyDescent="0.25">
      <c r="A22" s="1016"/>
      <c r="B22" s="1451"/>
      <c r="C22" s="1190" t="s">
        <v>485</v>
      </c>
      <c r="D22" s="1435">
        <f>'Wrk C'!E18</f>
        <v>0</v>
      </c>
      <c r="E22" s="1436"/>
      <c r="F22" s="1436"/>
      <c r="G22" s="1436"/>
      <c r="H22" s="1436"/>
      <c r="I22" s="1436"/>
      <c r="J22" s="1201">
        <f>'Wrk C'!F18</f>
        <v>0</v>
      </c>
      <c r="K22" s="1206" t="str">
        <f>'Wrk C'!P51</f>
        <v/>
      </c>
      <c r="L22" s="1044" t="str">
        <f>'Wrk C'!Q51</f>
        <v/>
      </c>
      <c r="M22" s="1209">
        <f>'Wrk C'!H32</f>
        <v>0</v>
      </c>
      <c r="N22" s="1195" t="str">
        <f t="shared" si="0"/>
        <v/>
      </c>
      <c r="O22" s="1022" t="str">
        <f t="shared" si="1"/>
        <v/>
      </c>
      <c r="P22" s="1052"/>
      <c r="Q22" s="1016"/>
      <c r="R22" s="1016"/>
      <c r="S22" s="1016"/>
      <c r="T22" s="1016"/>
      <c r="U22" s="1016"/>
      <c r="V22" s="1016"/>
      <c r="W22" s="1016"/>
      <c r="X22" s="1016"/>
      <c r="Y22" s="1016"/>
      <c r="Z22" s="1016"/>
      <c r="AA22" s="1016"/>
      <c r="AB22" s="1016"/>
      <c r="AC22" s="1016"/>
      <c r="AD22" s="1016"/>
    </row>
    <row r="23" spans="1:30" ht="12" customHeight="1" thickBot="1" x14ac:dyDescent="0.25">
      <c r="A23" s="1016"/>
      <c r="B23" s="1275" t="s">
        <v>2551</v>
      </c>
      <c r="C23" s="1188" t="s">
        <v>481</v>
      </c>
      <c r="D23" s="1453">
        <f>'Wrk D'!C14</f>
        <v>0</v>
      </c>
      <c r="E23" s="1438"/>
      <c r="F23" s="1438"/>
      <c r="G23" s="1438"/>
      <c r="H23" s="1438"/>
      <c r="I23" s="1438"/>
      <c r="J23" s="1199">
        <f>'Wrk D'!D14</f>
        <v>0</v>
      </c>
      <c r="K23" s="1202">
        <f>'Wrk D'!O14</f>
        <v>0</v>
      </c>
      <c r="L23" s="1042">
        <f>'Wrk D'!Q14</f>
        <v>0</v>
      </c>
      <c r="M23" s="1210">
        <f>'Wrk D'!G14</f>
        <v>0</v>
      </c>
      <c r="N23" s="1193">
        <f>IF(K23="","",K23*$M23)</f>
        <v>0</v>
      </c>
      <c r="O23" s="1043">
        <f>IF(N23="","",L23*$M23)</f>
        <v>0</v>
      </c>
      <c r="P23" s="1050"/>
      <c r="Q23" s="1016"/>
      <c r="R23" s="1016"/>
      <c r="S23" s="1016"/>
      <c r="T23" s="1016"/>
      <c r="U23" s="1016"/>
      <c r="V23" s="1016"/>
      <c r="W23" s="1016"/>
      <c r="X23" s="1016"/>
      <c r="Y23" s="1016"/>
      <c r="Z23" s="1016"/>
      <c r="AA23" s="1016"/>
      <c r="AB23" s="1016"/>
      <c r="AC23" s="1016"/>
      <c r="AD23" s="1016"/>
    </row>
    <row r="24" spans="1:30" ht="12" customHeight="1" x14ac:dyDescent="0.2">
      <c r="A24" s="1016"/>
      <c r="B24" s="1446" t="s">
        <v>2550</v>
      </c>
      <c r="C24" s="1189" t="s">
        <v>482</v>
      </c>
      <c r="D24" s="1433">
        <f>'Wrk D'!C15</f>
        <v>0</v>
      </c>
      <c r="E24" s="1434"/>
      <c r="F24" s="1434"/>
      <c r="G24" s="1434"/>
      <c r="H24" s="1434"/>
      <c r="I24" s="1434"/>
      <c r="J24" s="1200">
        <f>'Wrk D'!D15</f>
        <v>0</v>
      </c>
      <c r="K24" s="1204">
        <f>'Wrk D'!O15</f>
        <v>0</v>
      </c>
      <c r="L24" s="66">
        <f>'Wrk D'!Q15</f>
        <v>0</v>
      </c>
      <c r="M24" s="1211">
        <f>'Wrk D'!G15</f>
        <v>0</v>
      </c>
      <c r="N24" s="1194">
        <f>IF(K24="","",K24*$M24)</f>
        <v>0</v>
      </c>
      <c r="O24" s="285">
        <f>IF(N24="","",L24*$M24)</f>
        <v>0</v>
      </c>
      <c r="P24" s="1051"/>
      <c r="Q24" s="1016"/>
      <c r="R24" s="1016"/>
      <c r="S24" s="1016"/>
      <c r="T24" s="1016"/>
      <c r="U24" s="1016"/>
      <c r="V24" s="1016"/>
      <c r="W24" s="1016"/>
      <c r="X24" s="1016"/>
      <c r="Y24" s="1016"/>
      <c r="Z24" s="1016"/>
      <c r="AA24" s="1016"/>
      <c r="AB24" s="1016"/>
      <c r="AC24" s="1016"/>
      <c r="AD24" s="1016"/>
    </row>
    <row r="25" spans="1:30" ht="12" customHeight="1" thickBot="1" x14ac:dyDescent="0.25">
      <c r="A25" s="1016"/>
      <c r="B25" s="1448"/>
      <c r="C25" s="1190" t="s">
        <v>483</v>
      </c>
      <c r="D25" s="1435">
        <f>'Wrk D'!C16</f>
        <v>0</v>
      </c>
      <c r="E25" s="1436"/>
      <c r="F25" s="1436"/>
      <c r="G25" s="1436"/>
      <c r="H25" s="1436"/>
      <c r="I25" s="1436"/>
      <c r="J25" s="1201">
        <f>'Wrk D'!D16</f>
        <v>0</v>
      </c>
      <c r="K25" s="1206">
        <f>'Wrk D'!O16</f>
        <v>0</v>
      </c>
      <c r="L25" s="1044">
        <f>'Wrk D'!Q16</f>
        <v>0</v>
      </c>
      <c r="M25" s="1212">
        <f>'Wrk D'!G16</f>
        <v>0</v>
      </c>
      <c r="N25" s="1195">
        <f>IF(K25="","",K25*$M25)</f>
        <v>0</v>
      </c>
      <c r="O25" s="1022">
        <f>IF(N25="","",L25*$M25)</f>
        <v>0</v>
      </c>
      <c r="P25" s="1052"/>
      <c r="Q25" s="1016"/>
      <c r="R25" s="1016"/>
      <c r="S25" s="1016"/>
      <c r="T25" s="1016"/>
      <c r="U25" s="1016"/>
      <c r="V25" s="1016"/>
      <c r="W25" s="1016"/>
      <c r="X25" s="1016"/>
      <c r="Y25" s="1016"/>
      <c r="Z25" s="1016"/>
      <c r="AA25" s="1016"/>
      <c r="AB25" s="1016"/>
      <c r="AC25" s="1016"/>
      <c r="AD25" s="1016"/>
    </row>
    <row r="26" spans="1:30" ht="12" customHeight="1" thickBot="1" x14ac:dyDescent="0.25">
      <c r="A26" s="1016"/>
      <c r="B26" s="1276" t="s">
        <v>2551</v>
      </c>
      <c r="C26" s="1188" t="s">
        <v>481</v>
      </c>
      <c r="D26" s="1453">
        <f>'Wrk D'!C18</f>
        <v>0</v>
      </c>
      <c r="E26" s="1438"/>
      <c r="F26" s="1438"/>
      <c r="G26" s="1438"/>
      <c r="H26" s="1438"/>
      <c r="I26" s="1438"/>
      <c r="J26" s="1199">
        <f>'Wrk D'!D18</f>
        <v>0</v>
      </c>
      <c r="K26" s="1202" t="str">
        <f>'Wrk D'!O18</f>
        <v/>
      </c>
      <c r="L26" s="1042" t="str">
        <f>'Wrk D'!Q18</f>
        <v/>
      </c>
      <c r="M26" s="1213">
        <f>'Wrk D'!I18</f>
        <v>0</v>
      </c>
      <c r="N26" s="1193" t="str">
        <f>IF(K26="","",K26*$M26)</f>
        <v/>
      </c>
      <c r="O26" s="1043" t="str">
        <f>IF(L26="","",L26*$M26)</f>
        <v/>
      </c>
      <c r="P26" s="1050"/>
      <c r="Q26" s="1016"/>
      <c r="R26" s="1016"/>
      <c r="S26" s="1016"/>
      <c r="T26" s="1016"/>
      <c r="U26" s="1016"/>
      <c r="V26" s="1016"/>
      <c r="W26" s="1016"/>
      <c r="X26" s="1016"/>
      <c r="Y26" s="1016"/>
      <c r="Z26" s="1016"/>
      <c r="AA26" s="1016"/>
      <c r="AB26" s="1016"/>
      <c r="AC26" s="1016"/>
      <c r="AD26" s="1016"/>
    </row>
    <row r="27" spans="1:30" ht="12" customHeight="1" x14ac:dyDescent="0.2">
      <c r="A27" s="1016"/>
      <c r="B27" s="1449" t="s">
        <v>3400</v>
      </c>
      <c r="C27" s="1189" t="s">
        <v>482</v>
      </c>
      <c r="D27" s="1433">
        <f>'Wrk D'!C19</f>
        <v>0</v>
      </c>
      <c r="E27" s="1434"/>
      <c r="F27" s="1434"/>
      <c r="G27" s="1434"/>
      <c r="H27" s="1434"/>
      <c r="I27" s="1434"/>
      <c r="J27" s="1200">
        <f>'Wrk D'!D19</f>
        <v>0</v>
      </c>
      <c r="K27" s="1204" t="str">
        <f>'Wrk D'!O19</f>
        <v/>
      </c>
      <c r="L27" s="66" t="str">
        <f>'Wrk D'!Q19</f>
        <v/>
      </c>
      <c r="M27" s="1021">
        <f>'Wrk D'!I19</f>
        <v>0</v>
      </c>
      <c r="N27" s="1194" t="str">
        <f t="shared" ref="N27:N35" si="2">IF(K27="","",K27*$M27)</f>
        <v/>
      </c>
      <c r="O27" s="285" t="str">
        <f t="shared" ref="O27:O35" si="3">IF(L27="","",L27*$M27)</f>
        <v/>
      </c>
      <c r="P27" s="1051"/>
      <c r="Q27" s="1016"/>
      <c r="R27" s="1016"/>
      <c r="S27" s="1016"/>
      <c r="T27" s="1016"/>
      <c r="U27" s="1016"/>
      <c r="V27" s="1016"/>
      <c r="W27" s="1016"/>
      <c r="X27" s="1016"/>
      <c r="Y27" s="1016"/>
      <c r="Z27" s="1016"/>
      <c r="AA27" s="1016"/>
      <c r="AB27" s="1016"/>
      <c r="AC27" s="1016"/>
      <c r="AD27" s="1016"/>
    </row>
    <row r="28" spans="1:30" ht="12" customHeight="1" x14ac:dyDescent="0.2">
      <c r="A28" s="1016"/>
      <c r="B28" s="1450"/>
      <c r="C28" s="1189" t="s">
        <v>483</v>
      </c>
      <c r="D28" s="1433">
        <f>'Wrk D'!C20</f>
        <v>0</v>
      </c>
      <c r="E28" s="1434"/>
      <c r="F28" s="1434"/>
      <c r="G28" s="1434"/>
      <c r="H28" s="1434"/>
      <c r="I28" s="1434"/>
      <c r="J28" s="1200">
        <f>'Wrk D'!D20</f>
        <v>0</v>
      </c>
      <c r="K28" s="1204" t="str">
        <f>'Wrk D'!O20</f>
        <v/>
      </c>
      <c r="L28" s="66" t="str">
        <f>'Wrk D'!Q20</f>
        <v/>
      </c>
      <c r="M28" s="1021">
        <f>'Wrk D'!I20</f>
        <v>0</v>
      </c>
      <c r="N28" s="1194" t="str">
        <f t="shared" si="2"/>
        <v/>
      </c>
      <c r="O28" s="285" t="str">
        <f t="shared" si="3"/>
        <v/>
      </c>
      <c r="P28" s="1051"/>
      <c r="Q28" s="1016"/>
      <c r="R28" s="1016"/>
      <c r="S28" s="1016"/>
      <c r="T28" s="1016"/>
      <c r="U28" s="1016"/>
      <c r="V28" s="1016"/>
      <c r="W28" s="1016"/>
      <c r="X28" s="1016"/>
      <c r="Y28" s="1016"/>
      <c r="Z28" s="1016"/>
      <c r="AA28" s="1016"/>
      <c r="AB28" s="1016"/>
      <c r="AC28" s="1016"/>
      <c r="AD28" s="1016"/>
    </row>
    <row r="29" spans="1:30" ht="12" customHeight="1" x14ac:dyDescent="0.2">
      <c r="A29" s="1016"/>
      <c r="B29" s="1450"/>
      <c r="C29" s="1189" t="s">
        <v>484</v>
      </c>
      <c r="D29" s="1433">
        <f>'Wrk D'!C21</f>
        <v>0</v>
      </c>
      <c r="E29" s="1434"/>
      <c r="F29" s="1434"/>
      <c r="G29" s="1434"/>
      <c r="H29" s="1434"/>
      <c r="I29" s="1434"/>
      <c r="J29" s="1200">
        <f>'Wrk D'!D21</f>
        <v>0</v>
      </c>
      <c r="K29" s="1204" t="str">
        <f>'Wrk D'!O21</f>
        <v/>
      </c>
      <c r="L29" s="66" t="str">
        <f>'Wrk D'!Q21</f>
        <v/>
      </c>
      <c r="M29" s="1021">
        <f>'Wrk D'!I21</f>
        <v>0</v>
      </c>
      <c r="N29" s="1194" t="str">
        <f t="shared" si="2"/>
        <v/>
      </c>
      <c r="O29" s="285" t="str">
        <f t="shared" si="3"/>
        <v/>
      </c>
      <c r="P29" s="1051"/>
      <c r="Q29" s="1016"/>
      <c r="R29" s="1016"/>
      <c r="S29" s="1016"/>
      <c r="T29" s="1016"/>
      <c r="U29" s="1016"/>
      <c r="V29" s="1016"/>
      <c r="W29" s="1016"/>
      <c r="X29" s="1016"/>
      <c r="Y29" s="1016"/>
      <c r="Z29" s="1016"/>
      <c r="AA29" s="1016"/>
      <c r="AB29" s="1016"/>
      <c r="AC29" s="1016"/>
      <c r="AD29" s="1016"/>
    </row>
    <row r="30" spans="1:30" ht="12" customHeight="1" x14ac:dyDescent="0.2">
      <c r="A30" s="1016"/>
      <c r="B30" s="1450"/>
      <c r="C30" s="1189" t="s">
        <v>485</v>
      </c>
      <c r="D30" s="1433">
        <f>'Wrk D'!C22</f>
        <v>0</v>
      </c>
      <c r="E30" s="1434"/>
      <c r="F30" s="1434"/>
      <c r="G30" s="1434"/>
      <c r="H30" s="1434"/>
      <c r="I30" s="1434"/>
      <c r="J30" s="1200">
        <f>'Wrk D'!D22</f>
        <v>0</v>
      </c>
      <c r="K30" s="1204" t="str">
        <f>'Wrk D'!O22</f>
        <v/>
      </c>
      <c r="L30" s="66" t="str">
        <f>'Wrk D'!Q22</f>
        <v/>
      </c>
      <c r="M30" s="1021">
        <f>'Wrk D'!I22</f>
        <v>0</v>
      </c>
      <c r="N30" s="1194" t="str">
        <f t="shared" si="2"/>
        <v/>
      </c>
      <c r="O30" s="285" t="str">
        <f t="shared" si="3"/>
        <v/>
      </c>
      <c r="P30" s="1051"/>
      <c r="Q30" s="1016"/>
      <c r="R30" s="1016"/>
      <c r="S30" s="1016"/>
      <c r="T30" s="1016"/>
      <c r="U30" s="1016"/>
      <c r="V30" s="1016"/>
      <c r="W30" s="1016"/>
      <c r="X30" s="1016"/>
      <c r="Y30" s="1016"/>
      <c r="Z30" s="1016"/>
      <c r="AA30" s="1016"/>
      <c r="AB30" s="1016"/>
      <c r="AC30" s="1016"/>
      <c r="AD30" s="1016"/>
    </row>
    <row r="31" spans="1:30" ht="12" customHeight="1" x14ac:dyDescent="0.2">
      <c r="A31" s="1016"/>
      <c r="B31" s="1450"/>
      <c r="C31" s="1189" t="s">
        <v>486</v>
      </c>
      <c r="D31" s="1433">
        <f>'Wrk D'!C23</f>
        <v>0</v>
      </c>
      <c r="E31" s="1434"/>
      <c r="F31" s="1434"/>
      <c r="G31" s="1434"/>
      <c r="H31" s="1434"/>
      <c r="I31" s="1434"/>
      <c r="J31" s="1200">
        <f>'Wrk D'!D23</f>
        <v>0</v>
      </c>
      <c r="K31" s="1204" t="str">
        <f>'Wrk D'!O23</f>
        <v/>
      </c>
      <c r="L31" s="66" t="str">
        <f>'Wrk D'!Q23</f>
        <v/>
      </c>
      <c r="M31" s="1021">
        <f>'Wrk D'!I23</f>
        <v>0</v>
      </c>
      <c r="N31" s="1194" t="str">
        <f t="shared" si="2"/>
        <v/>
      </c>
      <c r="O31" s="285" t="str">
        <f t="shared" si="3"/>
        <v/>
      </c>
      <c r="P31" s="1051"/>
      <c r="Q31" s="1016"/>
      <c r="R31" s="1016"/>
      <c r="S31" s="1016"/>
      <c r="T31" s="1016"/>
      <c r="U31" s="1016"/>
      <c r="V31" s="1016"/>
      <c r="W31" s="1016"/>
      <c r="X31" s="1016"/>
      <c r="Y31" s="1016"/>
      <c r="Z31" s="1016"/>
      <c r="AA31" s="1016"/>
      <c r="AB31" s="1016"/>
      <c r="AC31" s="1016"/>
      <c r="AD31" s="1016"/>
    </row>
    <row r="32" spans="1:30" ht="12" customHeight="1" x14ac:dyDescent="0.2">
      <c r="A32" s="1016"/>
      <c r="B32" s="1450"/>
      <c r="C32" s="1189" t="s">
        <v>487</v>
      </c>
      <c r="D32" s="1433">
        <f>'Wrk D'!C24</f>
        <v>0</v>
      </c>
      <c r="E32" s="1434"/>
      <c r="F32" s="1434"/>
      <c r="G32" s="1434"/>
      <c r="H32" s="1434"/>
      <c r="I32" s="1434"/>
      <c r="J32" s="1200">
        <f>'Wrk D'!D24</f>
        <v>0</v>
      </c>
      <c r="K32" s="1204" t="str">
        <f>'Wrk D'!O24</f>
        <v/>
      </c>
      <c r="L32" s="66" t="str">
        <f>'Wrk D'!Q24</f>
        <v/>
      </c>
      <c r="M32" s="1021">
        <f>'Wrk D'!I24</f>
        <v>0</v>
      </c>
      <c r="N32" s="1194" t="str">
        <f t="shared" si="2"/>
        <v/>
      </c>
      <c r="O32" s="285" t="str">
        <f t="shared" si="3"/>
        <v/>
      </c>
      <c r="P32" s="1051"/>
      <c r="Q32" s="1016"/>
      <c r="R32" s="1016"/>
      <c r="S32" s="1016"/>
      <c r="T32" s="1016"/>
      <c r="U32" s="1016"/>
      <c r="V32" s="1016"/>
      <c r="W32" s="1016"/>
      <c r="X32" s="1016"/>
      <c r="Y32" s="1016"/>
      <c r="Z32" s="1016"/>
      <c r="AA32" s="1016"/>
      <c r="AB32" s="1016"/>
      <c r="AC32" s="1016"/>
      <c r="AD32" s="1016"/>
    </row>
    <row r="33" spans="1:30" ht="12" customHeight="1" x14ac:dyDescent="0.2">
      <c r="A33" s="1016"/>
      <c r="B33" s="1513"/>
      <c r="C33" s="1189" t="s">
        <v>488</v>
      </c>
      <c r="D33" s="1433">
        <f>'Wrk D'!C25</f>
        <v>0</v>
      </c>
      <c r="E33" s="1434"/>
      <c r="F33" s="1434"/>
      <c r="G33" s="1434"/>
      <c r="H33" s="1434"/>
      <c r="I33" s="1434"/>
      <c r="J33" s="1200">
        <f>'Wrk D'!D25</f>
        <v>0</v>
      </c>
      <c r="K33" s="1204" t="str">
        <f>'Wrk D'!O25</f>
        <v/>
      </c>
      <c r="L33" s="66" t="str">
        <f>'Wrk D'!Q25</f>
        <v/>
      </c>
      <c r="M33" s="1021">
        <f>'Wrk D'!I25</f>
        <v>0</v>
      </c>
      <c r="N33" s="1194" t="str">
        <f t="shared" si="2"/>
        <v/>
      </c>
      <c r="O33" s="285" t="str">
        <f t="shared" si="3"/>
        <v/>
      </c>
      <c r="P33" s="1051"/>
      <c r="Q33" s="1016"/>
      <c r="R33" s="1016"/>
      <c r="S33" s="1016"/>
      <c r="T33" s="1016"/>
      <c r="U33" s="1016"/>
      <c r="V33" s="1016"/>
      <c r="W33" s="1016"/>
      <c r="X33" s="1016"/>
      <c r="Y33" s="1016"/>
      <c r="Z33" s="1016"/>
      <c r="AA33" s="1016"/>
      <c r="AB33" s="1016"/>
      <c r="AC33" s="1016"/>
      <c r="AD33" s="1016"/>
    </row>
    <row r="34" spans="1:30" ht="12" customHeight="1" x14ac:dyDescent="0.2">
      <c r="A34" s="1016"/>
      <c r="B34" s="1514" t="s">
        <v>3401</v>
      </c>
      <c r="C34" s="1189" t="s">
        <v>978</v>
      </c>
      <c r="D34" s="1433">
        <f>'Wrk D'!C26</f>
        <v>0</v>
      </c>
      <c r="E34" s="1434"/>
      <c r="F34" s="1434"/>
      <c r="G34" s="1434"/>
      <c r="H34" s="1434"/>
      <c r="I34" s="1434"/>
      <c r="J34" s="1442">
        <f>'Wrk D'!D26</f>
        <v>0</v>
      </c>
      <c r="K34" s="1204" t="str">
        <f>'Wrk D'!O26</f>
        <v/>
      </c>
      <c r="L34" s="66" t="str">
        <f>'Wrk D'!Q26</f>
        <v/>
      </c>
      <c r="M34" s="1021">
        <f>'Wrk D'!I29</f>
        <v>0</v>
      </c>
      <c r="N34" s="1194" t="str">
        <f t="shared" si="2"/>
        <v/>
      </c>
      <c r="O34" s="285" t="str">
        <f t="shared" si="3"/>
        <v/>
      </c>
      <c r="P34" s="1051"/>
      <c r="Q34" s="1016"/>
      <c r="R34" s="1016"/>
      <c r="S34" s="1016"/>
      <c r="T34" s="1016"/>
      <c r="U34" s="1016"/>
      <c r="V34" s="1016"/>
      <c r="W34" s="1016"/>
      <c r="X34" s="1016"/>
      <c r="Y34" s="1016"/>
      <c r="Z34" s="1016"/>
      <c r="AA34" s="1016"/>
      <c r="AB34" s="1016"/>
      <c r="AC34" s="1016"/>
      <c r="AD34" s="1016"/>
    </row>
    <row r="35" spans="1:30" ht="12" customHeight="1" thickBot="1" x14ac:dyDescent="0.25">
      <c r="A35" s="1016"/>
      <c r="B35" s="1515"/>
      <c r="C35" s="1190" t="s">
        <v>979</v>
      </c>
      <c r="D35" s="1435">
        <f>'Wrk D'!C27</f>
        <v>0</v>
      </c>
      <c r="E35" s="1436"/>
      <c r="F35" s="1436"/>
      <c r="G35" s="1436"/>
      <c r="H35" s="1436"/>
      <c r="I35" s="1436"/>
      <c r="J35" s="1443"/>
      <c r="K35" s="1206" t="str">
        <f>'Wrk D'!O27</f>
        <v/>
      </c>
      <c r="L35" s="1044" t="str">
        <f>'Wrk D'!Q27</f>
        <v/>
      </c>
      <c r="M35" s="1214">
        <f>'Wrk D'!I30</f>
        <v>0</v>
      </c>
      <c r="N35" s="1195" t="str">
        <f t="shared" si="2"/>
        <v/>
      </c>
      <c r="O35" s="1022" t="str">
        <f t="shared" si="3"/>
        <v/>
      </c>
      <c r="P35" s="1052"/>
      <c r="Q35" s="1016"/>
      <c r="R35" s="1016"/>
      <c r="S35" s="1016"/>
      <c r="T35" s="1016"/>
      <c r="U35" s="1016"/>
      <c r="V35" s="1016"/>
      <c r="W35" s="1016"/>
      <c r="X35" s="1016"/>
      <c r="Y35" s="1016"/>
      <c r="Z35" s="1016"/>
      <c r="AA35" s="1016"/>
      <c r="AB35" s="1016"/>
      <c r="AC35" s="1016"/>
      <c r="AD35" s="1016"/>
    </row>
    <row r="36" spans="1:30" ht="12" customHeight="1" thickBot="1" x14ac:dyDescent="0.25">
      <c r="A36" s="1016"/>
      <c r="B36" s="1277" t="s">
        <v>2551</v>
      </c>
      <c r="C36" s="1191" t="s">
        <v>481</v>
      </c>
      <c r="D36" s="1431">
        <f>'Wrk D'!C43</f>
        <v>0</v>
      </c>
      <c r="E36" s="1432"/>
      <c r="F36" s="1432"/>
      <c r="G36" s="1432"/>
      <c r="H36" s="1432"/>
      <c r="I36" s="1432"/>
      <c r="J36" s="1496"/>
      <c r="K36" s="1215">
        <f>'Wrk D'!O43</f>
        <v>0</v>
      </c>
      <c r="L36" s="385">
        <f>'Wrk D'!Q43</f>
        <v>0</v>
      </c>
      <c r="M36" s="1216">
        <f>'Wrk D'!I43</f>
        <v>0</v>
      </c>
      <c r="N36" s="1196">
        <f t="shared" ref="N36:N41" si="4">K36*$M36</f>
        <v>0</v>
      </c>
      <c r="O36" s="786">
        <f t="shared" ref="O36:O41" si="5">L36*$M36</f>
        <v>0</v>
      </c>
      <c r="P36" s="1051"/>
      <c r="Q36" s="1016"/>
      <c r="R36" s="1016"/>
      <c r="S36" s="1016"/>
      <c r="T36" s="1016"/>
      <c r="U36" s="1016"/>
      <c r="V36" s="1016"/>
      <c r="W36" s="1016"/>
      <c r="X36" s="1016"/>
      <c r="Y36" s="1016"/>
      <c r="Z36" s="1016"/>
      <c r="AA36" s="1016"/>
      <c r="AB36" s="1016"/>
      <c r="AC36" s="1016"/>
      <c r="AD36" s="1016"/>
    </row>
    <row r="37" spans="1:30" ht="12" customHeight="1" x14ac:dyDescent="0.2">
      <c r="A37" s="1016"/>
      <c r="B37" s="1446" t="s">
        <v>1183</v>
      </c>
      <c r="C37" s="1189" t="s">
        <v>482</v>
      </c>
      <c r="D37" s="1433">
        <f>'Wrk D'!C44</f>
        <v>0</v>
      </c>
      <c r="E37" s="1434"/>
      <c r="F37" s="1434"/>
      <c r="G37" s="1434"/>
      <c r="H37" s="1434"/>
      <c r="I37" s="1434"/>
      <c r="J37" s="1496"/>
      <c r="K37" s="1204">
        <f>'Wrk D'!O44</f>
        <v>0</v>
      </c>
      <c r="L37" s="66">
        <f>'Wrk D'!Q44</f>
        <v>0</v>
      </c>
      <c r="M37" s="1021">
        <f>'Wrk D'!I44</f>
        <v>0</v>
      </c>
      <c r="N37" s="1194">
        <f t="shared" si="4"/>
        <v>0</v>
      </c>
      <c r="O37" s="285">
        <f t="shared" si="5"/>
        <v>0</v>
      </c>
      <c r="P37" s="1051"/>
      <c r="Q37" s="1016"/>
      <c r="R37" s="1016"/>
      <c r="S37" s="1016"/>
      <c r="T37" s="1016"/>
      <c r="U37" s="1016"/>
      <c r="V37" s="1016"/>
      <c r="W37" s="1016"/>
      <c r="X37" s="1016"/>
      <c r="Y37" s="1016"/>
      <c r="Z37" s="1016"/>
      <c r="AA37" s="1016"/>
      <c r="AB37" s="1016"/>
      <c r="AC37" s="1016"/>
      <c r="AD37" s="1016"/>
    </row>
    <row r="38" spans="1:30" ht="12" customHeight="1" thickBot="1" x14ac:dyDescent="0.25">
      <c r="A38" s="1016"/>
      <c r="B38" s="1448"/>
      <c r="C38" s="1190" t="s">
        <v>483</v>
      </c>
      <c r="D38" s="1435">
        <f>'Wrk D'!C45</f>
        <v>0</v>
      </c>
      <c r="E38" s="1436"/>
      <c r="F38" s="1436"/>
      <c r="G38" s="1436"/>
      <c r="H38" s="1436"/>
      <c r="I38" s="1436"/>
      <c r="J38" s="1443"/>
      <c r="K38" s="1206">
        <f>'Wrk D'!O45</f>
        <v>0</v>
      </c>
      <c r="L38" s="1044">
        <f>'Wrk D'!Q45</f>
        <v>0</v>
      </c>
      <c r="M38" s="1214">
        <f>'Wrk D'!I45</f>
        <v>0</v>
      </c>
      <c r="N38" s="1195">
        <f t="shared" si="4"/>
        <v>0</v>
      </c>
      <c r="O38" s="1022">
        <f t="shared" si="5"/>
        <v>0</v>
      </c>
      <c r="P38" s="1052"/>
      <c r="Q38" s="1016"/>
      <c r="R38" s="1016"/>
      <c r="S38" s="1016"/>
      <c r="T38" s="1016"/>
      <c r="U38" s="1016"/>
      <c r="V38" s="1016"/>
      <c r="W38" s="1016"/>
      <c r="X38" s="1016"/>
      <c r="Y38" s="1016"/>
      <c r="Z38" s="1016"/>
      <c r="AA38" s="1016"/>
      <c r="AB38" s="1016"/>
      <c r="AC38" s="1016"/>
      <c r="AD38" s="1016"/>
    </row>
    <row r="39" spans="1:30" ht="12" customHeight="1" thickBot="1" x14ac:dyDescent="0.25">
      <c r="A39" s="1016"/>
      <c r="B39" s="1276" t="s">
        <v>2551</v>
      </c>
      <c r="C39" s="1188" t="s">
        <v>481</v>
      </c>
      <c r="D39" s="1437">
        <f>'Wrk D'!C54</f>
        <v>0</v>
      </c>
      <c r="E39" s="1438"/>
      <c r="F39" s="1438"/>
      <c r="G39" s="1438"/>
      <c r="H39" s="1438"/>
      <c r="I39" s="1438"/>
      <c r="J39" s="1440"/>
      <c r="K39" s="1202">
        <f>'Wrk D'!O54</f>
        <v>0</v>
      </c>
      <c r="L39" s="1042">
        <f>'Wrk D'!Q54</f>
        <v>0</v>
      </c>
      <c r="M39" s="1213">
        <f>'Wrk D'!J54</f>
        <v>0</v>
      </c>
      <c r="N39" s="1193">
        <f t="shared" si="4"/>
        <v>0</v>
      </c>
      <c r="O39" s="1043">
        <f t="shared" si="5"/>
        <v>0</v>
      </c>
      <c r="P39" s="1050"/>
      <c r="Q39" s="1016"/>
      <c r="R39" s="1016"/>
      <c r="S39" s="1016"/>
      <c r="T39" s="1016"/>
      <c r="U39" s="1016"/>
      <c r="V39" s="1016"/>
      <c r="W39" s="1016"/>
      <c r="X39" s="1016"/>
      <c r="Y39" s="1016"/>
      <c r="Z39" s="1016"/>
      <c r="AA39" s="1016"/>
      <c r="AB39" s="1016"/>
      <c r="AC39" s="1016"/>
      <c r="AD39" s="1016"/>
    </row>
    <row r="40" spans="1:30" ht="12" customHeight="1" x14ac:dyDescent="0.2">
      <c r="A40" s="1016"/>
      <c r="B40" s="1449" t="s">
        <v>1184</v>
      </c>
      <c r="C40" s="1189" t="s">
        <v>482</v>
      </c>
      <c r="D40" s="1439">
        <f>'Wrk D'!C55</f>
        <v>0</v>
      </c>
      <c r="E40" s="1434"/>
      <c r="F40" s="1434"/>
      <c r="G40" s="1434"/>
      <c r="H40" s="1434"/>
      <c r="I40" s="1434"/>
      <c r="J40" s="1441"/>
      <c r="K40" s="1204">
        <f>'Wrk D'!O55</f>
        <v>0</v>
      </c>
      <c r="L40" s="66">
        <f>'Wrk D'!Q55</f>
        <v>0</v>
      </c>
      <c r="M40" s="1021">
        <f>'Wrk D'!J55</f>
        <v>0</v>
      </c>
      <c r="N40" s="1194">
        <f t="shared" si="4"/>
        <v>0</v>
      </c>
      <c r="O40" s="285">
        <f t="shared" si="5"/>
        <v>0</v>
      </c>
      <c r="P40" s="1051"/>
      <c r="Q40" s="1016"/>
      <c r="R40" s="1016"/>
      <c r="S40" s="1016"/>
      <c r="T40" s="1016"/>
      <c r="U40" s="1016"/>
      <c r="V40" s="1016"/>
      <c r="W40" s="1016"/>
      <c r="X40" s="1016"/>
      <c r="Y40" s="1016"/>
      <c r="Z40" s="1016"/>
      <c r="AA40" s="1016"/>
      <c r="AB40" s="1016"/>
      <c r="AC40" s="1016"/>
      <c r="AD40" s="1016"/>
    </row>
    <row r="41" spans="1:30" ht="12" customHeight="1" x14ac:dyDescent="0.2">
      <c r="A41" s="1016"/>
      <c r="B41" s="1450"/>
      <c r="C41" s="1189" t="s">
        <v>483</v>
      </c>
      <c r="D41" s="1439">
        <f>'Wrk D'!C56</f>
        <v>0</v>
      </c>
      <c r="E41" s="1434"/>
      <c r="F41" s="1434"/>
      <c r="G41" s="1434"/>
      <c r="H41" s="1434"/>
      <c r="I41" s="1434"/>
      <c r="J41" s="1441"/>
      <c r="K41" s="1204">
        <f>'Wrk D'!O56</f>
        <v>0</v>
      </c>
      <c r="L41" s="66">
        <f>'Wrk D'!Q56</f>
        <v>0</v>
      </c>
      <c r="M41" s="1021">
        <f>'Wrk D'!J56</f>
        <v>0</v>
      </c>
      <c r="N41" s="1247">
        <f t="shared" si="4"/>
        <v>0</v>
      </c>
      <c r="O41" s="1248">
        <f t="shared" si="5"/>
        <v>0</v>
      </c>
      <c r="P41" s="1051"/>
      <c r="Q41" s="1016"/>
      <c r="R41" s="1016"/>
      <c r="S41" s="1016"/>
      <c r="T41" s="1016"/>
      <c r="U41" s="1016"/>
      <c r="V41" s="1016"/>
      <c r="W41" s="1016"/>
      <c r="X41" s="1016"/>
      <c r="Y41" s="1016"/>
      <c r="Z41" s="1016"/>
      <c r="AA41" s="1016"/>
      <c r="AB41" s="1016"/>
      <c r="AC41" s="1016"/>
      <c r="AD41" s="1016"/>
    </row>
    <row r="42" spans="1:30" ht="12" customHeight="1" x14ac:dyDescent="0.2">
      <c r="A42" s="1016"/>
      <c r="B42" s="1450"/>
      <c r="C42" s="1189" t="s">
        <v>484</v>
      </c>
      <c r="D42" s="1439">
        <f>'Wrk D'!C57</f>
        <v>0</v>
      </c>
      <c r="E42" s="1434"/>
      <c r="F42" s="1434"/>
      <c r="G42" s="1434"/>
      <c r="H42" s="1434"/>
      <c r="I42" s="1434"/>
      <c r="J42" s="1441"/>
      <c r="K42" s="1204">
        <f>'Wrk D'!O57</f>
        <v>0</v>
      </c>
      <c r="L42" s="66">
        <f>'Wrk D'!Q57</f>
        <v>0</v>
      </c>
      <c r="M42" s="1021">
        <f>'Wrk D'!J57</f>
        <v>0</v>
      </c>
      <c r="N42" s="1247">
        <f t="shared" ref="N42:O44" si="6">K42*$M42</f>
        <v>0</v>
      </c>
      <c r="O42" s="1248">
        <f t="shared" si="6"/>
        <v>0</v>
      </c>
      <c r="P42" s="1051"/>
      <c r="Q42" s="1016"/>
      <c r="R42" s="1016"/>
      <c r="S42" s="1016"/>
      <c r="T42" s="1016"/>
      <c r="U42" s="1016"/>
      <c r="V42" s="1016"/>
      <c r="W42" s="1016"/>
      <c r="X42" s="1016"/>
      <c r="Y42" s="1016"/>
      <c r="Z42" s="1016"/>
      <c r="AA42" s="1016"/>
      <c r="AB42" s="1016"/>
      <c r="AC42" s="1016"/>
      <c r="AD42" s="1016"/>
    </row>
    <row r="43" spans="1:30" ht="12" customHeight="1" x14ac:dyDescent="0.2">
      <c r="A43" s="1016"/>
      <c r="B43" s="1450"/>
      <c r="C43" s="1245" t="s">
        <v>485</v>
      </c>
      <c r="D43" s="1439">
        <f>'Wrk D'!C58</f>
        <v>0</v>
      </c>
      <c r="E43" s="1434"/>
      <c r="F43" s="1434"/>
      <c r="G43" s="1434"/>
      <c r="H43" s="1434"/>
      <c r="I43" s="1434"/>
      <c r="J43" s="1232"/>
      <c r="K43" s="1204">
        <f>'Wrk D'!O58</f>
        <v>0</v>
      </c>
      <c r="L43" s="66">
        <f>'Wrk D'!Q58</f>
        <v>0</v>
      </c>
      <c r="M43" s="1021">
        <f>'Wrk D'!J58</f>
        <v>0</v>
      </c>
      <c r="N43" s="1194">
        <f t="shared" si="6"/>
        <v>0</v>
      </c>
      <c r="O43" s="285">
        <f t="shared" si="6"/>
        <v>0</v>
      </c>
      <c r="P43" s="1051"/>
      <c r="Q43" s="1016"/>
      <c r="R43" s="1016"/>
      <c r="S43" s="1016"/>
      <c r="T43" s="1016"/>
      <c r="U43" s="1016"/>
      <c r="V43" s="1016"/>
      <c r="W43" s="1016"/>
      <c r="X43" s="1016"/>
      <c r="Y43" s="1016"/>
      <c r="Z43" s="1016"/>
      <c r="AA43" s="1016"/>
      <c r="AB43" s="1016"/>
      <c r="AC43" s="1016"/>
      <c r="AD43" s="1016"/>
    </row>
    <row r="44" spans="1:30" ht="12" customHeight="1" thickBot="1" x14ac:dyDescent="0.25">
      <c r="A44" s="1016"/>
      <c r="B44" s="1451"/>
      <c r="C44" s="1190" t="s">
        <v>486</v>
      </c>
      <c r="D44" s="1452">
        <f>'Wrk D'!C59</f>
        <v>0</v>
      </c>
      <c r="E44" s="1436"/>
      <c r="F44" s="1436"/>
      <c r="G44" s="1436"/>
      <c r="H44" s="1436"/>
      <c r="I44" s="1436"/>
      <c r="J44" s="1246"/>
      <c r="K44" s="1206">
        <f>'Wrk D'!O59</f>
        <v>0</v>
      </c>
      <c r="L44" s="1044">
        <f>'Wrk D'!Q59</f>
        <v>0</v>
      </c>
      <c r="M44" s="1214">
        <f>'Wrk D'!J59</f>
        <v>0</v>
      </c>
      <c r="N44" s="1195">
        <f t="shared" si="6"/>
        <v>0</v>
      </c>
      <c r="O44" s="1022">
        <f t="shared" si="6"/>
        <v>0</v>
      </c>
      <c r="P44" s="1052"/>
      <c r="Q44" s="1016"/>
      <c r="R44" s="1016"/>
      <c r="S44" s="1016"/>
      <c r="T44" s="1016"/>
      <c r="U44" s="1016"/>
      <c r="V44" s="1016"/>
      <c r="W44" s="1016"/>
      <c r="X44" s="1016"/>
      <c r="Y44" s="1016"/>
      <c r="Z44" s="1016"/>
      <c r="AA44" s="1016"/>
      <c r="AB44" s="1016"/>
      <c r="AC44" s="1016"/>
      <c r="AD44" s="1016"/>
    </row>
    <row r="45" spans="1:30" ht="12" customHeight="1" thickBot="1" x14ac:dyDescent="0.25">
      <c r="A45" s="1016"/>
      <c r="B45" s="1275" t="s">
        <v>2551</v>
      </c>
      <c r="C45" s="1191" t="s">
        <v>481</v>
      </c>
      <c r="D45" s="1444" t="s">
        <v>1186</v>
      </c>
      <c r="E45" s="1445"/>
      <c r="F45" s="1445"/>
      <c r="G45" s="1445"/>
      <c r="H45" s="1445"/>
      <c r="I45" s="1445"/>
      <c r="J45" s="1445"/>
      <c r="K45" s="1220"/>
      <c r="L45" s="1221"/>
      <c r="M45" s="1221"/>
      <c r="N45" s="1426"/>
      <c r="O45" s="786">
        <f>'Wrk E'!H158</f>
        <v>0</v>
      </c>
      <c r="P45" s="1054"/>
      <c r="Q45" s="1016"/>
      <c r="R45" s="1016"/>
      <c r="S45" s="1016"/>
      <c r="T45" s="1016"/>
      <c r="U45" s="1016"/>
      <c r="V45" s="1016"/>
      <c r="W45" s="1016"/>
      <c r="X45" s="1016"/>
      <c r="Y45" s="1016"/>
      <c r="Z45" s="1016"/>
      <c r="AA45" s="1016"/>
      <c r="AB45" s="1016"/>
      <c r="AC45" s="1016"/>
      <c r="AD45" s="1016"/>
    </row>
    <row r="46" spans="1:30" ht="12" customHeight="1" x14ac:dyDescent="0.2">
      <c r="A46" s="1016"/>
      <c r="B46" s="1446" t="s">
        <v>1185</v>
      </c>
      <c r="C46" s="1189" t="s">
        <v>482</v>
      </c>
      <c r="D46" s="1429" t="s">
        <v>2425</v>
      </c>
      <c r="E46" s="1430"/>
      <c r="F46" s="1430"/>
      <c r="G46" s="1430"/>
      <c r="H46" s="1430"/>
      <c r="I46" s="1430"/>
      <c r="J46" s="1430"/>
      <c r="K46" s="1220"/>
      <c r="L46" s="1221"/>
      <c r="M46" s="1221"/>
      <c r="N46" s="1427"/>
      <c r="O46" s="285">
        <f>'Wrk E'!H159</f>
        <v>0</v>
      </c>
      <c r="P46" s="1020">
        <f>'Wrk E'!I159</f>
        <v>0</v>
      </c>
      <c r="Q46" s="1016"/>
      <c r="R46" s="1016"/>
      <c r="S46" s="1016"/>
      <c r="T46" s="1016"/>
      <c r="U46" s="1016"/>
      <c r="V46" s="1016"/>
      <c r="W46" s="1016"/>
      <c r="X46" s="1016"/>
      <c r="Y46" s="1016"/>
      <c r="Z46" s="1016"/>
      <c r="AA46" s="1016"/>
      <c r="AB46" s="1016"/>
      <c r="AC46" s="1016"/>
      <c r="AD46" s="1016"/>
    </row>
    <row r="47" spans="1:30" ht="12" customHeight="1" x14ac:dyDescent="0.2">
      <c r="A47" s="1016"/>
      <c r="B47" s="1447"/>
      <c r="C47" s="1189" t="s">
        <v>483</v>
      </c>
      <c r="D47" s="1429" t="s">
        <v>1188</v>
      </c>
      <c r="E47" s="1430"/>
      <c r="F47" s="1430"/>
      <c r="G47" s="1430"/>
      <c r="H47" s="1430"/>
      <c r="I47" s="1430"/>
      <c r="J47" s="1430"/>
      <c r="K47" s="1220"/>
      <c r="L47" s="1221"/>
      <c r="M47" s="1221"/>
      <c r="N47" s="1427"/>
      <c r="O47" s="285">
        <f>InternalI!U21</f>
        <v>0</v>
      </c>
      <c r="P47" s="1020">
        <f>InternalI!V21</f>
        <v>0</v>
      </c>
      <c r="Q47" s="1016"/>
      <c r="R47" s="1016"/>
      <c r="S47" s="1016"/>
      <c r="T47" s="1016"/>
      <c r="U47" s="1016"/>
      <c r="V47" s="1016"/>
      <c r="W47" s="1016"/>
      <c r="X47" s="1016"/>
      <c r="Y47" s="1016"/>
      <c r="Z47" s="1016"/>
      <c r="AA47" s="1016"/>
      <c r="AB47" s="1016"/>
      <c r="AC47" s="1016"/>
      <c r="AD47" s="1016"/>
    </row>
    <row r="48" spans="1:30" ht="12" customHeight="1" x14ac:dyDescent="0.2">
      <c r="A48" s="1016"/>
      <c r="B48" s="1447"/>
      <c r="C48" s="1189" t="s">
        <v>484</v>
      </c>
      <c r="D48" s="1" t="s">
        <v>2898</v>
      </c>
      <c r="E48" s="1"/>
      <c r="F48" s="1"/>
      <c r="G48" s="1"/>
      <c r="H48" s="1"/>
      <c r="I48" s="1"/>
      <c r="J48" s="1"/>
      <c r="K48" s="1220"/>
      <c r="L48" s="1221"/>
      <c r="M48" s="1221"/>
      <c r="N48" s="1427"/>
      <c r="O48" s="285">
        <f>InternalI!U29</f>
        <v>0</v>
      </c>
      <c r="P48" s="1020">
        <f>InternalI!V29</f>
        <v>0</v>
      </c>
      <c r="Q48" s="1016"/>
      <c r="R48" s="1016"/>
      <c r="S48" s="1016"/>
      <c r="T48" s="1016"/>
      <c r="U48" s="1016"/>
      <c r="V48" s="1016"/>
      <c r="W48" s="1016"/>
      <c r="X48" s="1016"/>
      <c r="Y48" s="1016"/>
      <c r="Z48" s="1016"/>
      <c r="AA48" s="1016"/>
      <c r="AB48" s="1016"/>
      <c r="AC48" s="1016"/>
      <c r="AD48" s="1016"/>
    </row>
    <row r="49" spans="1:30" ht="12" customHeight="1" thickBot="1" x14ac:dyDescent="0.25">
      <c r="A49" s="1016"/>
      <c r="B49" s="1448"/>
      <c r="C49" s="1273" t="s">
        <v>485</v>
      </c>
      <c r="D49" s="1429" t="s">
        <v>2427</v>
      </c>
      <c r="E49" s="1430"/>
      <c r="F49" s="1430"/>
      <c r="G49" s="1430"/>
      <c r="H49" s="1430"/>
      <c r="I49" s="1430"/>
      <c r="J49" s="1430"/>
      <c r="K49" s="1220"/>
      <c r="L49" s="1221"/>
      <c r="M49" s="1221"/>
      <c r="N49" s="1428"/>
      <c r="O49" s="811">
        <f>IF(InternalI!Q37=1,InternalI!S37,0)</f>
        <v>0</v>
      </c>
      <c r="P49" s="1021">
        <f>'Wrk E'!I162</f>
        <v>0</v>
      </c>
      <c r="Q49" s="1016"/>
      <c r="R49" s="1016"/>
      <c r="S49" s="1016"/>
      <c r="T49" s="1016"/>
      <c r="U49" s="1016"/>
      <c r="V49" s="1016"/>
      <c r="W49" s="1016"/>
      <c r="X49" s="1016"/>
      <c r="Y49" s="1016"/>
      <c r="Z49" s="1016"/>
      <c r="AA49" s="1016"/>
      <c r="AB49" s="1016"/>
      <c r="AC49" s="1016"/>
      <c r="AD49" s="1016"/>
    </row>
    <row r="50" spans="1:30" ht="12" customHeight="1" thickBot="1" x14ac:dyDescent="0.25">
      <c r="A50" s="1016"/>
      <c r="B50" s="1276" t="s">
        <v>2551</v>
      </c>
      <c r="C50" s="1477"/>
      <c r="D50" s="1480" t="s">
        <v>1191</v>
      </c>
      <c r="E50" s="1468"/>
      <c r="F50" s="1468"/>
      <c r="G50" s="1468"/>
      <c r="H50" s="1468"/>
      <c r="I50" s="1468"/>
      <c r="J50" s="1481"/>
      <c r="K50" s="1217">
        <f>'Wrk F'!K47</f>
        <v>0</v>
      </c>
      <c r="L50" s="993">
        <f>'Wrk F'!K48</f>
        <v>0</v>
      </c>
      <c r="M50" s="1441"/>
      <c r="N50" s="1194">
        <f>IF(K50=0,0,'Wrk F'!L47)</f>
        <v>0</v>
      </c>
      <c r="O50" s="285">
        <f>IF(L50=0,0,'Wrk F'!L48)</f>
        <v>0</v>
      </c>
      <c r="P50" s="1020">
        <f>IF(L50=0,0,'Wrk F'!L49)</f>
        <v>0</v>
      </c>
      <c r="Q50" s="1016"/>
      <c r="R50" s="1016"/>
      <c r="S50" s="1016"/>
      <c r="T50" s="1016"/>
      <c r="U50" s="1016"/>
      <c r="V50" s="1016"/>
      <c r="W50" s="1016"/>
      <c r="X50" s="1016"/>
      <c r="Y50" s="1016"/>
      <c r="Z50" s="1016"/>
      <c r="AA50" s="1016"/>
      <c r="AB50" s="1016"/>
      <c r="AC50" s="1016"/>
      <c r="AD50" s="1016"/>
    </row>
    <row r="51" spans="1:30" ht="12" customHeight="1" x14ac:dyDescent="0.2">
      <c r="A51" s="1016"/>
      <c r="B51" s="1501" t="s">
        <v>3041</v>
      </c>
      <c r="C51" s="1478"/>
      <c r="D51" s="1037" t="s">
        <v>3006</v>
      </c>
      <c r="E51" s="1037"/>
      <c r="F51" s="1037"/>
      <c r="G51" s="1037"/>
      <c r="H51" s="1037"/>
      <c r="I51" s="1037"/>
      <c r="J51" s="1037"/>
      <c r="K51" s="1218" t="e">
        <f>IF(DuctsI!R7="",0,'Wrk G'!G55)</f>
        <v>#N/A</v>
      </c>
      <c r="L51" s="577" t="e">
        <f>IF(DuctsI!R8="",0,'Wrk G'!G56)</f>
        <v>#DIV/0!</v>
      </c>
      <c r="M51" s="1441"/>
      <c r="N51" s="1194" t="e">
        <f>SUM($N$10:$N$50)*K51</f>
        <v>#N/A</v>
      </c>
      <c r="O51" s="285" t="e">
        <f>IF(P4&lt;0,0,((SUM($O$10:$O$50)))*L51)</f>
        <v>#DIV/0!</v>
      </c>
      <c r="P51" s="1053"/>
      <c r="Q51" s="1016"/>
      <c r="R51" s="1238"/>
      <c r="S51" s="1238"/>
      <c r="T51" s="1238"/>
      <c r="U51" s="1016"/>
      <c r="V51" s="1016"/>
      <c r="W51" s="1016"/>
      <c r="X51" s="1016"/>
      <c r="Y51" s="1016"/>
      <c r="Z51" s="1016"/>
      <c r="AA51" s="1016"/>
      <c r="AB51" s="1016"/>
      <c r="AC51" s="1016"/>
      <c r="AD51" s="1016"/>
    </row>
    <row r="52" spans="1:30" ht="12" customHeight="1" thickBot="1" x14ac:dyDescent="0.25">
      <c r="A52" s="1016"/>
      <c r="B52" s="1502"/>
      <c r="C52" s="1478"/>
      <c r="D52" s="1049" t="s">
        <v>3767</v>
      </c>
      <c r="E52" s="1049"/>
      <c r="F52" s="1049"/>
      <c r="G52" s="1049"/>
      <c r="H52" s="1049"/>
      <c r="I52" s="1049"/>
      <c r="J52" s="1049"/>
      <c r="K52" s="1218" t="e">
        <f>IF(DuctsI!R7="",0,'Wrk G'!L55)</f>
        <v>#N/A</v>
      </c>
      <c r="L52" s="1030" t="e">
        <f>IF(DuctsI!R8="",0,'Wrk G'!L56)</f>
        <v>#DIV/0!</v>
      </c>
      <c r="M52" s="1476"/>
      <c r="N52" s="1194" t="e">
        <f>SUM($N$10:$N$50)*K52</f>
        <v>#N/A</v>
      </c>
      <c r="O52" s="285" t="e">
        <f>IF(P4&lt;0,0,SUM($O$10:$O$50)*L52)</f>
        <v>#DIV/0!</v>
      </c>
      <c r="P52" s="1020" t="e">
        <f>IF(DuctsI!R8="",0,'Wrk G'!L57)</f>
        <v>#N/A</v>
      </c>
      <c r="Q52" s="1016"/>
      <c r="R52" s="1238"/>
      <c r="S52" s="1238"/>
      <c r="T52" s="1238"/>
      <c r="U52" s="1016"/>
      <c r="V52" s="1016"/>
      <c r="W52" s="1016"/>
      <c r="X52" s="1016"/>
      <c r="Y52" s="1016"/>
      <c r="Z52" s="1016"/>
      <c r="AA52" s="1016"/>
      <c r="AB52" s="1016"/>
      <c r="AC52" s="1016"/>
      <c r="AD52" s="1016"/>
    </row>
    <row r="53" spans="1:30" ht="12" customHeight="1" thickBot="1" x14ac:dyDescent="0.25">
      <c r="A53" s="1016"/>
      <c r="B53" s="1276" t="s">
        <v>2551</v>
      </c>
      <c r="C53" s="1478"/>
      <c r="D53" s="1429" t="s">
        <v>361</v>
      </c>
      <c r="E53" s="1430"/>
      <c r="F53" s="1430"/>
      <c r="G53" s="1430"/>
      <c r="H53" s="1430"/>
      <c r="I53" s="1430"/>
      <c r="J53" s="1430"/>
      <c r="K53" s="1219"/>
      <c r="L53" s="17" t="s">
        <v>3743</v>
      </c>
      <c r="M53" s="1197">
        <f>' Wrk H'!C25</f>
        <v>0</v>
      </c>
      <c r="N53" s="1194">
        <f>' Wrk H'!M25</f>
        <v>0</v>
      </c>
      <c r="O53" s="285">
        <f>IF(P4&lt;0,0,' Wrk H'!M26)</f>
        <v>0</v>
      </c>
      <c r="P53" s="1020">
        <f>IF(P5&lt;0,0,' Wrk H'!M27)</f>
        <v>0</v>
      </c>
      <c r="Q53" s="1016"/>
      <c r="R53" s="1238"/>
      <c r="S53" s="1238"/>
      <c r="T53" s="1238"/>
      <c r="U53" s="1016"/>
      <c r="V53" s="1016"/>
      <c r="W53" s="1016"/>
      <c r="X53" s="1016"/>
      <c r="Y53" s="1016"/>
      <c r="Z53" s="1016"/>
      <c r="AA53" s="1016"/>
      <c r="AB53" s="1016"/>
      <c r="AC53" s="1016"/>
      <c r="AD53" s="1016"/>
    </row>
    <row r="54" spans="1:30" ht="12" customHeight="1" thickBot="1" x14ac:dyDescent="0.25">
      <c r="A54" s="1016"/>
      <c r="B54" s="1278" t="s">
        <v>2551</v>
      </c>
      <c r="C54" s="1479"/>
      <c r="D54" s="1506" t="s">
        <v>2428</v>
      </c>
      <c r="E54" s="1507"/>
      <c r="F54" s="1507"/>
      <c r="G54" s="1507"/>
      <c r="H54" s="1507"/>
      <c r="I54" s="1507"/>
      <c r="J54" s="1507"/>
      <c r="K54" s="1508"/>
      <c r="L54" s="1509"/>
      <c r="M54" s="1509"/>
      <c r="N54" s="1222"/>
      <c r="O54" s="1184">
        <f>InternalI!S41</f>
        <v>0</v>
      </c>
      <c r="P54" s="1185"/>
      <c r="Q54" s="1016"/>
      <c r="R54" s="1238"/>
      <c r="S54" s="1238"/>
      <c r="T54" s="1238"/>
      <c r="U54" s="1016"/>
      <c r="V54" s="1016"/>
      <c r="W54" s="1016"/>
      <c r="X54" s="1016"/>
      <c r="Y54" s="1016"/>
      <c r="Z54" s="1016"/>
      <c r="AA54" s="1016"/>
      <c r="AB54" s="1016"/>
      <c r="AC54" s="1016"/>
      <c r="AD54" s="1016"/>
    </row>
    <row r="55" spans="1:30" ht="12" customHeight="1" thickBot="1" x14ac:dyDescent="0.25">
      <c r="A55" s="1016"/>
      <c r="B55" s="1510"/>
      <c r="C55" s="1511"/>
      <c r="D55" s="1511"/>
      <c r="E55" s="1511"/>
      <c r="F55" s="1511"/>
      <c r="G55" s="1511"/>
      <c r="H55" s="1511"/>
      <c r="I55" s="1511"/>
      <c r="J55" s="1512"/>
      <c r="K55" s="1503" t="s">
        <v>3042</v>
      </c>
      <c r="L55" s="1504"/>
      <c r="M55" s="1505"/>
      <c r="N55" s="1198" t="e">
        <f>SUM($N$10:$N$53)</f>
        <v>#N/A</v>
      </c>
      <c r="O55" s="1186" t="e">
        <f>SUM($O$10:$O$54)</f>
        <v>#DIV/0!</v>
      </c>
      <c r="P55" s="1187" t="e">
        <f>P46+P47+P48+P49+P50+P52+P53</f>
        <v>#N/A</v>
      </c>
      <c r="Q55" s="1016"/>
      <c r="R55" s="1238"/>
      <c r="S55" s="1238"/>
      <c r="T55" s="1238"/>
      <c r="U55" s="1016"/>
      <c r="V55" s="1016"/>
      <c r="W55" s="1016"/>
      <c r="X55" s="1016"/>
      <c r="Y55" s="1016"/>
      <c r="Z55" s="1016"/>
      <c r="AA55" s="1016"/>
      <c r="AB55" s="1016"/>
      <c r="AC55" s="1016"/>
      <c r="AD55" s="1016"/>
    </row>
    <row r="56" spans="1:30" ht="12" customHeight="1" x14ac:dyDescent="0.2">
      <c r="A56" s="1016"/>
      <c r="B56" s="1257"/>
      <c r="C56" s="1257"/>
      <c r="D56" s="1058"/>
      <c r="E56" s="1058"/>
      <c r="F56" s="1058"/>
      <c r="G56" s="1058"/>
      <c r="H56" s="1058"/>
      <c r="I56" s="1058"/>
      <c r="J56" s="1258"/>
      <c r="K56" s="1259"/>
      <c r="L56" s="1058"/>
      <c r="M56" s="1058"/>
      <c r="N56" s="1260"/>
      <c r="O56" s="1016"/>
      <c r="P56" s="1016"/>
      <c r="Q56" s="1016"/>
      <c r="R56" s="1016"/>
      <c r="S56" s="1016"/>
      <c r="T56" s="1016"/>
      <c r="U56" s="1016"/>
      <c r="V56" s="1016"/>
      <c r="W56" s="1016"/>
      <c r="X56" s="1016"/>
      <c r="Y56" s="1016"/>
      <c r="Z56" s="1016"/>
      <c r="AA56" s="1016"/>
      <c r="AB56" s="1016"/>
      <c r="AC56" s="1016"/>
      <c r="AD56" s="1016"/>
    </row>
    <row r="57" spans="1:30" ht="12" customHeight="1" x14ac:dyDescent="0.2">
      <c r="A57" s="1016"/>
      <c r="B57" s="1237"/>
      <c r="C57" s="1046"/>
      <c r="D57" s="1046"/>
      <c r="E57" s="1046"/>
      <c r="F57" s="1046"/>
      <c r="G57" s="1046"/>
      <c r="H57" s="1046"/>
      <c r="I57" s="1046"/>
      <c r="J57" s="1046"/>
      <c r="K57" s="1046"/>
      <c r="L57" s="1046"/>
      <c r="M57" s="1046"/>
      <c r="N57" s="1046"/>
      <c r="O57" s="1046"/>
      <c r="P57" s="1046"/>
      <c r="Q57" s="1016"/>
      <c r="R57" s="1016"/>
      <c r="S57" s="1016"/>
      <c r="T57" s="1016"/>
      <c r="U57" s="1016"/>
      <c r="V57" s="1016"/>
      <c r="W57" s="1016"/>
      <c r="X57" s="1016"/>
      <c r="Y57" s="1016"/>
      <c r="Z57" s="1016"/>
      <c r="AA57" s="1016"/>
      <c r="AB57" s="1016"/>
      <c r="AC57" s="1016"/>
      <c r="AD57" s="1016"/>
    </row>
    <row r="58" spans="1:30" ht="12" customHeight="1" x14ac:dyDescent="0.2">
      <c r="A58" s="1016"/>
      <c r="B58" s="1237"/>
      <c r="C58" s="1046"/>
      <c r="D58" s="1046"/>
      <c r="E58" s="1046"/>
      <c r="F58" s="1046"/>
      <c r="G58" s="1046"/>
      <c r="H58" s="1046"/>
      <c r="I58" s="1046"/>
      <c r="J58" s="1046"/>
      <c r="K58" s="1046"/>
      <c r="L58" s="1046"/>
      <c r="M58" s="1046"/>
      <c r="N58" s="1046"/>
      <c r="O58" s="1046"/>
      <c r="P58" s="1046"/>
      <c r="Q58" s="1016"/>
      <c r="R58" s="1016"/>
      <c r="S58" s="1016"/>
      <c r="T58" s="1016"/>
      <c r="U58" s="1016"/>
      <c r="V58" s="1016"/>
      <c r="W58" s="1016"/>
      <c r="X58" s="1016"/>
      <c r="Y58" s="1016"/>
      <c r="Z58" s="1016"/>
      <c r="AA58" s="1016"/>
      <c r="AB58" s="1016"/>
      <c r="AC58" s="1016"/>
      <c r="AD58" s="1016"/>
    </row>
    <row r="59" spans="1:30" ht="12" customHeight="1" x14ac:dyDescent="0.2">
      <c r="A59" s="1016"/>
      <c r="B59" s="1237"/>
      <c r="C59" s="1046"/>
      <c r="D59" s="1046"/>
      <c r="E59" s="1046"/>
      <c r="F59" s="1046"/>
      <c r="G59" s="1046"/>
      <c r="H59" s="1046"/>
      <c r="I59" s="1046"/>
      <c r="J59" s="1046"/>
      <c r="K59" s="1046"/>
      <c r="L59" s="1046"/>
      <c r="M59" s="1046"/>
      <c r="N59" s="1046"/>
      <c r="O59" s="1046"/>
      <c r="P59" s="1046"/>
      <c r="Q59" s="1016"/>
      <c r="R59" s="1016"/>
      <c r="S59" s="1016"/>
      <c r="T59" s="1016"/>
      <c r="U59" s="1016"/>
      <c r="V59" s="1016"/>
      <c r="W59" s="1016"/>
      <c r="X59" s="1016"/>
      <c r="Y59" s="1016"/>
      <c r="Z59" s="1016"/>
      <c r="AA59" s="1016"/>
      <c r="AB59" s="1016"/>
      <c r="AC59" s="1016"/>
      <c r="AD59" s="1016"/>
    </row>
    <row r="60" spans="1:30" ht="12" customHeight="1" x14ac:dyDescent="0.2">
      <c r="A60" s="1016"/>
      <c r="B60" s="1237"/>
      <c r="C60" s="1046"/>
      <c r="D60" s="1046"/>
      <c r="E60" s="1046"/>
      <c r="F60" s="1046"/>
      <c r="G60" s="1046"/>
      <c r="H60" s="1046"/>
      <c r="I60" s="1046"/>
      <c r="J60" s="1046"/>
      <c r="K60" s="1046"/>
      <c r="L60" s="1046"/>
      <c r="M60" s="1046"/>
      <c r="N60" s="1046"/>
      <c r="O60" s="1046"/>
      <c r="P60" s="1046"/>
      <c r="Q60" s="1016"/>
      <c r="R60" s="1016"/>
      <c r="S60" s="1016"/>
      <c r="T60" s="1016"/>
      <c r="U60" s="1016"/>
      <c r="V60" s="1016"/>
      <c r="W60" s="1016"/>
      <c r="X60" s="1016"/>
      <c r="Y60" s="1016"/>
      <c r="Z60" s="1016"/>
      <c r="AA60" s="1016"/>
      <c r="AB60" s="1016"/>
      <c r="AC60" s="1016"/>
      <c r="AD60" s="1016"/>
    </row>
    <row r="61" spans="1:30" ht="12" customHeight="1" x14ac:dyDescent="0.2">
      <c r="A61" s="1016"/>
      <c r="B61" s="1237"/>
      <c r="C61" s="1046"/>
      <c r="D61" s="1046"/>
      <c r="E61" s="1046"/>
      <c r="F61" s="1046"/>
      <c r="G61" s="1046"/>
      <c r="H61" s="1046"/>
      <c r="I61" s="1046"/>
      <c r="J61" s="1046"/>
      <c r="K61" s="1046"/>
      <c r="L61" s="1046"/>
      <c r="M61" s="1046"/>
      <c r="N61" s="1046"/>
      <c r="O61" s="1046"/>
      <c r="P61" s="1046"/>
      <c r="Q61" s="1016"/>
      <c r="R61" s="1016"/>
      <c r="S61" s="1016"/>
      <c r="T61" s="1016"/>
      <c r="U61" s="1016"/>
      <c r="V61" s="1016"/>
      <c r="W61" s="1016"/>
      <c r="X61" s="1016"/>
      <c r="Y61" s="1016"/>
      <c r="Z61" s="1016"/>
      <c r="AA61" s="1016"/>
      <c r="AB61" s="1016"/>
      <c r="AC61" s="1016"/>
      <c r="AD61" s="1016"/>
    </row>
    <row r="62" spans="1:30" ht="12" customHeight="1" x14ac:dyDescent="0.2">
      <c r="A62" s="1016"/>
      <c r="B62" s="1237"/>
      <c r="C62" s="1046"/>
      <c r="D62" s="1046"/>
      <c r="E62" s="1046"/>
      <c r="F62" s="1046"/>
      <c r="G62" s="1046"/>
      <c r="H62" s="1046"/>
      <c r="I62" s="1046"/>
      <c r="J62" s="1046"/>
      <c r="K62" s="1046"/>
      <c r="L62" s="1046"/>
      <c r="M62" s="1046"/>
      <c r="N62" s="1046"/>
      <c r="O62" s="1046"/>
      <c r="P62" s="1046"/>
      <c r="Q62" s="1016"/>
      <c r="R62" s="1016"/>
      <c r="S62" s="1016"/>
      <c r="T62" s="1016"/>
      <c r="U62" s="1016"/>
      <c r="V62" s="1016"/>
      <c r="W62" s="1016"/>
      <c r="X62" s="1016"/>
      <c r="Y62" s="1016"/>
      <c r="Z62" s="1016"/>
      <c r="AA62" s="1016"/>
      <c r="AB62" s="1016"/>
      <c r="AC62" s="1016"/>
      <c r="AD62" s="1016"/>
    </row>
    <row r="63" spans="1:30" ht="12" customHeight="1" x14ac:dyDescent="0.2">
      <c r="A63" s="1016"/>
      <c r="B63" s="1237"/>
      <c r="C63" s="1046"/>
      <c r="D63" s="1046"/>
      <c r="E63" s="1046"/>
      <c r="F63" s="1046"/>
      <c r="G63" s="1046"/>
      <c r="H63" s="1046"/>
      <c r="I63" s="1046"/>
      <c r="J63" s="1046"/>
      <c r="K63" s="1046"/>
      <c r="L63" s="1046"/>
      <c r="M63" s="1046"/>
      <c r="N63" s="1046"/>
      <c r="O63" s="1046"/>
      <c r="P63" s="1046"/>
      <c r="Q63" s="1016"/>
      <c r="R63" s="1016"/>
      <c r="S63" s="1016"/>
      <c r="T63" s="1016"/>
      <c r="U63" s="1016"/>
      <c r="V63" s="1016"/>
      <c r="W63" s="1016"/>
      <c r="X63" s="1016"/>
      <c r="Y63" s="1016"/>
      <c r="Z63" s="1016"/>
      <c r="AA63" s="1016"/>
      <c r="AB63" s="1016"/>
      <c r="AC63" s="1016"/>
      <c r="AD63" s="1016"/>
    </row>
    <row r="64" spans="1:30" ht="12" customHeight="1" x14ac:dyDescent="0.2">
      <c r="A64" s="1016"/>
      <c r="B64" s="1237"/>
      <c r="C64" s="1046"/>
      <c r="D64" s="1046"/>
      <c r="E64" s="1046"/>
      <c r="F64" s="1046"/>
      <c r="G64" s="1046"/>
      <c r="H64" s="1046"/>
      <c r="I64" s="1046"/>
      <c r="J64" s="1046"/>
      <c r="K64" s="1046"/>
      <c r="L64" s="1046"/>
      <c r="M64" s="1046"/>
      <c r="N64" s="1046"/>
      <c r="O64" s="1046"/>
      <c r="P64" s="1046"/>
      <c r="Q64" s="1016"/>
      <c r="R64" s="1016"/>
      <c r="S64" s="1016"/>
      <c r="T64" s="1016"/>
      <c r="U64" s="1016"/>
      <c r="V64" s="1016"/>
      <c r="W64" s="1016"/>
      <c r="X64" s="1016"/>
      <c r="Y64" s="1016"/>
      <c r="Z64" s="1016"/>
      <c r="AA64" s="1016"/>
      <c r="AB64" s="1016"/>
      <c r="AC64" s="1016"/>
      <c r="AD64" s="1016"/>
    </row>
    <row r="65" spans="1:30" ht="12" customHeight="1" x14ac:dyDescent="0.2">
      <c r="A65" s="1016"/>
      <c r="B65" s="1237"/>
      <c r="C65" s="1046"/>
      <c r="D65" s="1046"/>
      <c r="E65" s="1046"/>
      <c r="F65" s="1046"/>
      <c r="G65" s="1046"/>
      <c r="H65" s="1046"/>
      <c r="I65" s="1046"/>
      <c r="J65" s="1046"/>
      <c r="K65" s="1046"/>
      <c r="L65" s="1046"/>
      <c r="M65" s="1046"/>
      <c r="N65" s="1046"/>
      <c r="O65" s="1046"/>
      <c r="P65" s="1046"/>
      <c r="Q65" s="1016"/>
      <c r="R65" s="1016"/>
      <c r="S65" s="1016"/>
      <c r="T65" s="1016"/>
      <c r="U65" s="1016"/>
      <c r="V65" s="1016"/>
      <c r="W65" s="1016"/>
      <c r="X65" s="1016"/>
      <c r="Y65" s="1016"/>
      <c r="Z65" s="1016"/>
      <c r="AA65" s="1016"/>
      <c r="AB65" s="1016"/>
      <c r="AC65" s="1016"/>
      <c r="AD65" s="1016"/>
    </row>
    <row r="66" spans="1:30" ht="12" customHeight="1" x14ac:dyDescent="0.2">
      <c r="A66" s="1016"/>
      <c r="B66" s="1237"/>
      <c r="C66" s="1046"/>
      <c r="D66" s="1046"/>
      <c r="E66" s="1046"/>
      <c r="F66" s="1046"/>
      <c r="G66" s="1046"/>
      <c r="H66" s="1046"/>
      <c r="I66" s="1046"/>
      <c r="J66" s="1046"/>
      <c r="K66" s="1046"/>
      <c r="L66" s="1046"/>
      <c r="M66" s="1046"/>
      <c r="N66" s="1046"/>
      <c r="O66" s="1046"/>
      <c r="P66" s="1046"/>
      <c r="Q66" s="1016"/>
      <c r="R66" s="1016"/>
      <c r="S66" s="1016"/>
      <c r="T66" s="1016"/>
      <c r="U66" s="1016"/>
      <c r="V66" s="1016"/>
      <c r="W66" s="1016"/>
      <c r="X66" s="1016"/>
      <c r="Y66" s="1016"/>
      <c r="Z66" s="1016"/>
      <c r="AA66" s="1016"/>
      <c r="AB66" s="1016"/>
      <c r="AC66" s="1016"/>
      <c r="AD66" s="1016"/>
    </row>
    <row r="67" spans="1:30" ht="12" customHeight="1" x14ac:dyDescent="0.2">
      <c r="A67" s="1016"/>
      <c r="B67" s="1237"/>
      <c r="C67" s="1046"/>
      <c r="D67" s="1046"/>
      <c r="E67" s="1046"/>
      <c r="F67" s="1046"/>
      <c r="G67" s="1046"/>
      <c r="H67" s="1046"/>
      <c r="I67" s="1046"/>
      <c r="J67" s="1046"/>
      <c r="K67" s="1046"/>
      <c r="L67" s="1046"/>
      <c r="M67" s="1046"/>
      <c r="N67" s="1046"/>
      <c r="O67" s="1046"/>
      <c r="P67" s="1046"/>
      <c r="Q67" s="1016"/>
      <c r="R67" s="1016"/>
      <c r="S67" s="1016"/>
      <c r="T67" s="1016"/>
      <c r="U67" s="1016"/>
      <c r="V67" s="1016"/>
      <c r="W67" s="1016"/>
      <c r="X67" s="1016"/>
      <c r="Y67" s="1016"/>
      <c r="Z67" s="1016"/>
      <c r="AA67" s="1016"/>
      <c r="AB67" s="1016"/>
      <c r="AC67" s="1016"/>
      <c r="AD67" s="1016"/>
    </row>
    <row r="68" spans="1:30" ht="12" customHeight="1" x14ac:dyDescent="0.2">
      <c r="A68" s="1016"/>
      <c r="B68" s="1237"/>
      <c r="C68" s="1046"/>
      <c r="D68" s="1046"/>
      <c r="E68" s="1046"/>
      <c r="F68" s="1046"/>
      <c r="G68" s="1046"/>
      <c r="H68" s="1046"/>
      <c r="I68" s="1046"/>
      <c r="J68" s="1046"/>
      <c r="K68" s="1046"/>
      <c r="L68" s="1046"/>
      <c r="M68" s="1046"/>
      <c r="N68" s="1046"/>
      <c r="O68" s="1046"/>
      <c r="P68" s="1046"/>
      <c r="Q68" s="1016"/>
      <c r="R68" s="1016"/>
      <c r="S68" s="1016"/>
      <c r="T68" s="1016"/>
      <c r="U68" s="1016"/>
      <c r="V68" s="1016"/>
      <c r="W68" s="1016"/>
      <c r="X68" s="1016"/>
      <c r="Y68" s="1016"/>
      <c r="Z68" s="1016"/>
      <c r="AA68" s="1016"/>
      <c r="AB68" s="1016"/>
      <c r="AC68" s="1016"/>
      <c r="AD68" s="1016"/>
    </row>
    <row r="69" spans="1:30" ht="12" customHeight="1" x14ac:dyDescent="0.2">
      <c r="A69" s="1016"/>
      <c r="B69" s="1237"/>
      <c r="C69" s="1046"/>
      <c r="D69" s="1046"/>
      <c r="E69" s="1046"/>
      <c r="F69" s="1046"/>
      <c r="G69" s="1046"/>
      <c r="H69" s="1046"/>
      <c r="I69" s="1046"/>
      <c r="J69" s="1046"/>
      <c r="K69" s="1046"/>
      <c r="L69" s="1046"/>
      <c r="M69" s="1046"/>
      <c r="N69" s="1046"/>
      <c r="O69" s="1046"/>
      <c r="P69" s="1046"/>
      <c r="Q69" s="1016"/>
      <c r="R69" s="1016"/>
      <c r="S69" s="1016"/>
      <c r="T69" s="1016"/>
      <c r="U69" s="1016"/>
      <c r="V69" s="1016"/>
      <c r="W69" s="1016"/>
      <c r="X69" s="1016"/>
      <c r="Y69" s="1016"/>
      <c r="Z69" s="1016"/>
      <c r="AA69" s="1016"/>
      <c r="AB69" s="1016"/>
      <c r="AC69" s="1016"/>
      <c r="AD69" s="1016"/>
    </row>
    <row r="70" spans="1:30" ht="12" customHeight="1" x14ac:dyDescent="0.2">
      <c r="A70" s="1016"/>
      <c r="B70" s="1237"/>
      <c r="C70" s="1046"/>
      <c r="D70" s="1046"/>
      <c r="E70" s="1046"/>
      <c r="F70" s="1046"/>
      <c r="G70" s="1046"/>
      <c r="H70" s="1046"/>
      <c r="I70" s="1046"/>
      <c r="J70" s="1046"/>
      <c r="K70" s="1046"/>
      <c r="L70" s="1046"/>
      <c r="M70" s="1046"/>
      <c r="N70" s="1046"/>
      <c r="O70" s="1046"/>
      <c r="P70" s="1046"/>
      <c r="Q70" s="1016"/>
      <c r="R70" s="1016"/>
      <c r="S70" s="1016"/>
      <c r="T70" s="1016"/>
      <c r="U70" s="1016"/>
      <c r="V70" s="1016"/>
      <c r="W70" s="1016"/>
      <c r="X70" s="1016"/>
      <c r="Y70" s="1016"/>
      <c r="Z70" s="1016"/>
      <c r="AA70" s="1016"/>
      <c r="AB70" s="1016"/>
      <c r="AC70" s="1016"/>
      <c r="AD70" s="1016"/>
    </row>
    <row r="71" spans="1:30" ht="12" customHeight="1" x14ac:dyDescent="0.2">
      <c r="A71" s="1016"/>
      <c r="B71" s="1237"/>
      <c r="C71" s="1046"/>
      <c r="D71" s="1046"/>
      <c r="E71" s="1046"/>
      <c r="F71" s="1046"/>
      <c r="G71" s="1046"/>
      <c r="H71" s="1046"/>
      <c r="I71" s="1046"/>
      <c r="J71" s="1046"/>
      <c r="K71" s="1046"/>
      <c r="L71" s="1046"/>
      <c r="M71" s="1046"/>
      <c r="N71" s="1046"/>
      <c r="O71" s="1046"/>
      <c r="P71" s="1046"/>
      <c r="Q71" s="1016"/>
      <c r="R71" s="1016"/>
      <c r="S71" s="1016"/>
      <c r="T71" s="1016"/>
      <c r="U71" s="1016"/>
      <c r="V71" s="1016"/>
      <c r="W71" s="1016"/>
      <c r="X71" s="1016"/>
      <c r="Y71" s="1016"/>
      <c r="Z71" s="1016"/>
      <c r="AA71" s="1016"/>
      <c r="AB71" s="1016"/>
      <c r="AC71" s="1016"/>
      <c r="AD71" s="1016"/>
    </row>
    <row r="72" spans="1:30" ht="12" customHeight="1" x14ac:dyDescent="0.2">
      <c r="A72" s="1016"/>
      <c r="B72" s="1237"/>
      <c r="C72" s="1046"/>
      <c r="D72" s="1046"/>
      <c r="E72" s="1046"/>
      <c r="F72" s="1046"/>
      <c r="G72" s="1046"/>
      <c r="H72" s="1046"/>
      <c r="I72" s="1046"/>
      <c r="J72" s="1046"/>
      <c r="K72" s="1046"/>
      <c r="L72" s="1046"/>
      <c r="M72" s="1046"/>
      <c r="N72" s="1046"/>
      <c r="O72" s="1046"/>
      <c r="P72" s="1046"/>
      <c r="Q72" s="1016"/>
      <c r="R72" s="1016"/>
      <c r="S72" s="1016"/>
      <c r="T72" s="1016"/>
      <c r="U72" s="1016"/>
      <c r="V72" s="1016"/>
      <c r="W72" s="1016"/>
      <c r="X72" s="1016"/>
      <c r="Y72" s="1016"/>
      <c r="Z72" s="1016"/>
      <c r="AA72" s="1016"/>
      <c r="AB72" s="1016"/>
      <c r="AC72" s="1016"/>
      <c r="AD72" s="1016"/>
    </row>
    <row r="73" spans="1:30" ht="12" customHeight="1" x14ac:dyDescent="0.2">
      <c r="A73" s="1016"/>
      <c r="B73" s="1237"/>
      <c r="C73" s="1046"/>
      <c r="D73" s="1046"/>
      <c r="E73" s="1046"/>
      <c r="F73" s="1046"/>
      <c r="G73" s="1046"/>
      <c r="H73" s="1046"/>
      <c r="I73" s="1046"/>
      <c r="J73" s="1046"/>
      <c r="K73" s="1046"/>
      <c r="L73" s="1046"/>
      <c r="M73" s="1046"/>
      <c r="N73" s="1046"/>
      <c r="O73" s="1046"/>
      <c r="P73" s="1046"/>
      <c r="Q73" s="1016"/>
      <c r="R73" s="1016"/>
      <c r="S73" s="1016"/>
      <c r="T73" s="1016"/>
      <c r="U73" s="1016"/>
      <c r="V73" s="1016"/>
      <c r="W73" s="1016"/>
      <c r="X73" s="1016"/>
      <c r="Y73" s="1016"/>
      <c r="Z73" s="1016"/>
      <c r="AA73" s="1016"/>
      <c r="AB73" s="1016"/>
      <c r="AC73" s="1016"/>
      <c r="AD73" s="1016"/>
    </row>
    <row r="74" spans="1:30" ht="12" customHeight="1" x14ac:dyDescent="0.2">
      <c r="A74" s="1016"/>
      <c r="B74" s="1237"/>
      <c r="C74" s="1046"/>
      <c r="D74" s="1046"/>
      <c r="E74" s="1046"/>
      <c r="F74" s="1046"/>
      <c r="G74" s="1046"/>
      <c r="H74" s="1046"/>
      <c r="I74" s="1046"/>
      <c r="J74" s="1046"/>
      <c r="K74" s="1046"/>
      <c r="L74" s="1046"/>
      <c r="M74" s="1046"/>
      <c r="N74" s="1046"/>
      <c r="O74" s="1046"/>
      <c r="P74" s="1046"/>
      <c r="Q74" s="1016"/>
      <c r="R74" s="1016"/>
      <c r="S74" s="1016"/>
      <c r="T74" s="1016"/>
      <c r="U74" s="1016"/>
      <c r="V74" s="1016"/>
      <c r="W74" s="1016"/>
      <c r="X74" s="1016"/>
      <c r="Y74" s="1016"/>
      <c r="Z74" s="1016"/>
      <c r="AA74" s="1016"/>
      <c r="AB74" s="1016"/>
      <c r="AC74" s="1016"/>
      <c r="AD74" s="1016"/>
    </row>
    <row r="75" spans="1:30" ht="12" customHeight="1" x14ac:dyDescent="0.2">
      <c r="A75" s="1016"/>
      <c r="B75" s="1237"/>
      <c r="C75" s="1046"/>
      <c r="D75" s="1046"/>
      <c r="E75" s="1046"/>
      <c r="F75" s="1046"/>
      <c r="G75" s="1046"/>
      <c r="H75" s="1046"/>
      <c r="I75" s="1046"/>
      <c r="J75" s="1046"/>
      <c r="K75" s="1046"/>
      <c r="L75" s="1046"/>
      <c r="M75" s="1046"/>
      <c r="N75" s="1046"/>
      <c r="O75" s="1046"/>
      <c r="P75" s="1046"/>
      <c r="Q75" s="1016"/>
      <c r="R75" s="1016"/>
      <c r="S75" s="1016"/>
      <c r="T75" s="1016"/>
      <c r="U75" s="1016"/>
      <c r="V75" s="1016"/>
      <c r="W75" s="1016"/>
      <c r="X75" s="1016"/>
      <c r="Y75" s="1016"/>
      <c r="Z75" s="1016"/>
      <c r="AA75" s="1016"/>
      <c r="AB75" s="1016"/>
      <c r="AC75" s="1016"/>
      <c r="AD75" s="1016"/>
    </row>
    <row r="76" spans="1:30" ht="12" customHeight="1" x14ac:dyDescent="0.2">
      <c r="A76" s="1016"/>
      <c r="B76" s="1237"/>
      <c r="C76" s="1046"/>
      <c r="D76" s="1046"/>
      <c r="E76" s="1046"/>
      <c r="F76" s="1046"/>
      <c r="G76" s="1046"/>
      <c r="H76" s="1046"/>
      <c r="I76" s="1046"/>
      <c r="J76" s="1046"/>
      <c r="K76" s="1046"/>
      <c r="L76" s="1046"/>
      <c r="M76" s="1046"/>
      <c r="N76" s="1046"/>
      <c r="O76" s="1046"/>
      <c r="P76" s="1046"/>
      <c r="Q76" s="1016"/>
      <c r="R76" s="1016"/>
      <c r="S76" s="1016"/>
      <c r="T76" s="1016"/>
      <c r="U76" s="1016"/>
      <c r="V76" s="1016"/>
      <c r="W76" s="1016"/>
      <c r="X76" s="1016"/>
      <c r="Y76" s="1016"/>
      <c r="Z76" s="1016"/>
      <c r="AA76" s="1016"/>
      <c r="AB76" s="1016"/>
      <c r="AC76" s="1016"/>
      <c r="AD76" s="1016"/>
    </row>
    <row r="77" spans="1:30" ht="12" customHeight="1" x14ac:dyDescent="0.2">
      <c r="A77" s="1016"/>
      <c r="B77" s="1237"/>
      <c r="C77" s="1046"/>
      <c r="D77" s="1046"/>
      <c r="E77" s="1046"/>
      <c r="F77" s="1046"/>
      <c r="G77" s="1046"/>
      <c r="H77" s="1046"/>
      <c r="I77" s="1046"/>
      <c r="J77" s="1046"/>
      <c r="K77" s="1046"/>
      <c r="L77" s="1046"/>
      <c r="M77" s="1046"/>
      <c r="N77" s="1046"/>
      <c r="O77" s="1046"/>
      <c r="P77" s="1046"/>
      <c r="Q77" s="1016"/>
      <c r="R77" s="1016"/>
      <c r="S77" s="1016"/>
      <c r="T77" s="1016"/>
      <c r="U77" s="1016"/>
      <c r="V77" s="1016"/>
      <c r="W77" s="1016"/>
      <c r="X77" s="1016"/>
      <c r="Y77" s="1016"/>
      <c r="Z77" s="1016"/>
      <c r="AA77" s="1016"/>
      <c r="AB77" s="1016"/>
      <c r="AC77" s="1016"/>
      <c r="AD77" s="1016"/>
    </row>
    <row r="78" spans="1:30" ht="12" customHeight="1" x14ac:dyDescent="0.2">
      <c r="A78" s="1016"/>
      <c r="B78" s="1237"/>
      <c r="C78" s="1046"/>
      <c r="D78" s="1046"/>
      <c r="E78" s="1046"/>
      <c r="F78" s="1046"/>
      <c r="G78" s="1046"/>
      <c r="H78" s="1046"/>
      <c r="I78" s="1046"/>
      <c r="J78" s="1046"/>
      <c r="K78" s="1046"/>
      <c r="L78" s="1046"/>
      <c r="M78" s="1046"/>
      <c r="N78" s="1046"/>
      <c r="O78" s="1046"/>
      <c r="P78" s="1046"/>
      <c r="Q78" s="1016"/>
      <c r="R78" s="1016"/>
      <c r="S78" s="1016"/>
      <c r="T78" s="1016"/>
      <c r="U78" s="1016"/>
      <c r="V78" s="1016"/>
      <c r="W78" s="1016"/>
      <c r="X78" s="1016"/>
      <c r="Y78" s="1016"/>
      <c r="Z78" s="1016"/>
      <c r="AA78" s="1016"/>
      <c r="AB78" s="1016"/>
      <c r="AC78" s="1016"/>
      <c r="AD78" s="1016"/>
    </row>
    <row r="79" spans="1:30" ht="12" customHeight="1" x14ac:dyDescent="0.2">
      <c r="A79" s="1016"/>
      <c r="B79" s="1237"/>
      <c r="C79" s="1046"/>
      <c r="D79" s="1046"/>
      <c r="E79" s="1046"/>
      <c r="F79" s="1046"/>
      <c r="G79" s="1046"/>
      <c r="H79" s="1046"/>
      <c r="I79" s="1046"/>
      <c r="J79" s="1046"/>
      <c r="K79" s="1046"/>
      <c r="L79" s="1046"/>
      <c r="M79" s="1046"/>
      <c r="N79" s="1046"/>
      <c r="O79" s="1046"/>
      <c r="P79" s="1046"/>
      <c r="Q79" s="1016"/>
      <c r="R79" s="1016"/>
      <c r="S79" s="1016"/>
      <c r="T79" s="1016"/>
      <c r="U79" s="1016"/>
      <c r="V79" s="1016"/>
      <c r="W79" s="1016"/>
      <c r="X79" s="1016"/>
      <c r="Y79" s="1016"/>
      <c r="Z79" s="1016"/>
      <c r="AA79" s="1016"/>
      <c r="AB79" s="1016"/>
      <c r="AC79" s="1016"/>
      <c r="AD79" s="1016"/>
    </row>
    <row r="80" spans="1:30" ht="12" customHeight="1" x14ac:dyDescent="0.2">
      <c r="A80" s="1016"/>
      <c r="B80" s="1237"/>
      <c r="C80" s="1046"/>
      <c r="D80" s="1046"/>
      <c r="E80" s="1046"/>
      <c r="F80" s="1046"/>
      <c r="G80" s="1046"/>
      <c r="H80" s="1046"/>
      <c r="I80" s="1046"/>
      <c r="J80" s="1046"/>
      <c r="K80" s="1046"/>
      <c r="L80" s="1046"/>
      <c r="M80" s="1046"/>
      <c r="N80" s="1046"/>
      <c r="O80" s="1046"/>
      <c r="P80" s="1046"/>
      <c r="Q80" s="1016"/>
      <c r="R80" s="1016"/>
      <c r="S80" s="1016"/>
      <c r="T80" s="1016"/>
      <c r="U80" s="1016"/>
      <c r="V80" s="1016"/>
      <c r="W80" s="1016"/>
      <c r="X80" s="1016"/>
      <c r="Y80" s="1016"/>
      <c r="Z80" s="1016"/>
      <c r="AA80" s="1016"/>
      <c r="AB80" s="1016"/>
      <c r="AC80" s="1016"/>
      <c r="AD80" s="1016"/>
    </row>
  </sheetData>
  <sheetProtection sheet="1" objects="1" scenarios="1"/>
  <mergeCells count="87">
    <mergeCell ref="B19:B22"/>
    <mergeCell ref="B24:B25"/>
    <mergeCell ref="B27:B33"/>
    <mergeCell ref="B34:B35"/>
    <mergeCell ref="D11:I11"/>
    <mergeCell ref="D12:I12"/>
    <mergeCell ref="D15:I15"/>
    <mergeCell ref="B11:B17"/>
    <mergeCell ref="D30:I30"/>
    <mergeCell ref="D25:I25"/>
    <mergeCell ref="D19:I19"/>
    <mergeCell ref="D20:I20"/>
    <mergeCell ref="D14:I14"/>
    <mergeCell ref="D17:I17"/>
    <mergeCell ref="D16:I16"/>
    <mergeCell ref="D22:I22"/>
    <mergeCell ref="K55:M55"/>
    <mergeCell ref="D53:J53"/>
    <mergeCell ref="D54:J54"/>
    <mergeCell ref="K54:M54"/>
    <mergeCell ref="B55:J55"/>
    <mergeCell ref="M50:M52"/>
    <mergeCell ref="C50:C54"/>
    <mergeCell ref="D50:J50"/>
    <mergeCell ref="B2:C7"/>
    <mergeCell ref="H7:I7"/>
    <mergeCell ref="D2:P2"/>
    <mergeCell ref="E3:G3"/>
    <mergeCell ref="E4:G4"/>
    <mergeCell ref="N7:O7"/>
    <mergeCell ref="K3:L3"/>
    <mergeCell ref="J8:J9"/>
    <mergeCell ref="J36:J38"/>
    <mergeCell ref="B37:B38"/>
    <mergeCell ref="B8:C9"/>
    <mergeCell ref="D21:I21"/>
    <mergeCell ref="B51:B52"/>
    <mergeCell ref="K4:L4"/>
    <mergeCell ref="N3:O3"/>
    <mergeCell ref="N4:O4"/>
    <mergeCell ref="N8:P8"/>
    <mergeCell ref="K8:L8"/>
    <mergeCell ref="M8:M9"/>
    <mergeCell ref="N5:O5"/>
    <mergeCell ref="N6:O6"/>
    <mergeCell ref="K5:L5"/>
    <mergeCell ref="K6:L6"/>
    <mergeCell ref="K7:L7"/>
    <mergeCell ref="D23:I23"/>
    <mergeCell ref="D24:I24"/>
    <mergeCell ref="H3:I3"/>
    <mergeCell ref="H4:I4"/>
    <mergeCell ref="H5:I5"/>
    <mergeCell ref="D18:I18"/>
    <mergeCell ref="D13:I13"/>
    <mergeCell ref="E5:G5"/>
    <mergeCell ref="H6:I6"/>
    <mergeCell ref="E6:G6"/>
    <mergeCell ref="D8:I9"/>
    <mergeCell ref="D10:I10"/>
    <mergeCell ref="D31:I31"/>
    <mergeCell ref="D32:I32"/>
    <mergeCell ref="D34:I34"/>
    <mergeCell ref="D33:I33"/>
    <mergeCell ref="D26:I26"/>
    <mergeCell ref="D27:I27"/>
    <mergeCell ref="D28:I28"/>
    <mergeCell ref="D29:I29"/>
    <mergeCell ref="D35:I35"/>
    <mergeCell ref="J34:J35"/>
    <mergeCell ref="D45:J45"/>
    <mergeCell ref="B46:B49"/>
    <mergeCell ref="B40:B44"/>
    <mergeCell ref="D46:J46"/>
    <mergeCell ref="D40:I40"/>
    <mergeCell ref="D41:I41"/>
    <mergeCell ref="D43:I43"/>
    <mergeCell ref="D44:I44"/>
    <mergeCell ref="N45:N49"/>
    <mergeCell ref="D47:J47"/>
    <mergeCell ref="D36:I36"/>
    <mergeCell ref="D37:I37"/>
    <mergeCell ref="D38:I38"/>
    <mergeCell ref="D39:I39"/>
    <mergeCell ref="D42:I42"/>
    <mergeCell ref="J39:J42"/>
    <mergeCell ref="D49:J49"/>
  </mergeCells>
  <phoneticPr fontId="2" type="noConversion"/>
  <dataValidations count="7">
    <dataValidation type="list" allowBlank="1" showInputMessage="1" showErrorMessage="1" sqref="E6" xr:uid="{00000000-0002-0000-0600-000000000000}">
      <formula1>Load_Type</formula1>
    </dataValidation>
    <dataValidation type="list" allowBlank="1" showInputMessage="1" showErrorMessage="1" sqref="E4" xr:uid="{00000000-0002-0000-0600-000001000000}">
      <formula1>state</formula1>
    </dataValidation>
    <dataValidation type="list" allowBlank="1" showInputMessage="1" showErrorMessage="1" sqref="E5:G5" xr:uid="{00000000-0002-0000-0600-000002000000}">
      <formula1>city</formula1>
    </dataValidation>
    <dataValidation type="list" allowBlank="1" showInputMessage="1" showErrorMessage="1" sqref="M5" xr:uid="{00000000-0002-0000-0600-000003000000}">
      <formula1>RH</formula1>
    </dataValidation>
    <dataValidation type="list" allowBlank="1" showInputMessage="1" showErrorMessage="1" sqref="P7" xr:uid="{00000000-0002-0000-0600-000004000000}">
      <formula1>Hour_of_Day</formula1>
    </dataValidation>
    <dataValidation type="whole" allowBlank="1" showInputMessage="1" showErrorMessage="1" error="You have entered a value that is outside the design parameters." sqref="M3" xr:uid="{00000000-0002-0000-0600-000005000000}">
      <formula1>50</formula1>
      <formula2>75</formula2>
    </dataValidation>
    <dataValidation type="whole" allowBlank="1" showInputMessage="1" showErrorMessage="1" error="You have entered a value outside the design parameters." sqref="M4" xr:uid="{00000000-0002-0000-0600-000006000000}">
      <formula1>70</formula1>
      <formula2>80</formula2>
    </dataValidation>
  </dataValidations>
  <hyperlinks>
    <hyperlink ref="B10" location="Glass_Information" display="► Lookup" xr:uid="{00000000-0004-0000-0600-000000000000}"/>
    <hyperlink ref="B18" location="Skylight_Information" display="► Lookup" xr:uid="{00000000-0004-0000-0600-000001000000}"/>
    <hyperlink ref="B23" location="Doors_Information" display="► Lookup" xr:uid="{00000000-0004-0000-0600-000002000000}"/>
    <hyperlink ref="B26" location="Walls_Information" display="► Lookup" xr:uid="{00000000-0004-0000-0600-000003000000}"/>
    <hyperlink ref="B36" location="Ceilings_Information" display="► Lookup" xr:uid="{00000000-0004-0000-0600-000004000000}"/>
    <hyperlink ref="B39" location="Floors_Information" display="► Lookup" xr:uid="{00000000-0004-0000-0600-000005000000}"/>
    <hyperlink ref="B45" location="InternalI!A1" display="► Lookup" xr:uid="{00000000-0004-0000-0600-000006000000}"/>
    <hyperlink ref="B50" location="Infiltration_Information" display="► Lookup" xr:uid="{00000000-0004-0000-0600-000007000000}"/>
    <hyperlink ref="B53" location="Ventilation_Information" display="► Lookup" xr:uid="{00000000-0004-0000-0600-000008000000}"/>
    <hyperlink ref="B51" location="Infiltration_Information" display="► Lookup" xr:uid="{00000000-0004-0000-0600-000009000000}"/>
    <hyperlink ref="B54" location="InternalI!A1" display="► Lookup" xr:uid="{00000000-0004-0000-0600-00000A000000}"/>
    <hyperlink ref="B51:B52" location="Ducts" display="► Lookup" xr:uid="{00000000-0004-0000-0600-00000B000000}"/>
  </hyperlinks>
  <printOptions horizontalCentered="1"/>
  <pageMargins left="0.25" right="0" top="0.25" bottom="0" header="0" footer="0"/>
  <pageSetup scale="92" orientation="landscape" blackAndWhite="1" r:id="rId1"/>
  <headerFooter alignWithMargins="0"/>
  <customProperties>
    <customPr name="SSCSheetTrackingNo"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indexed="10"/>
  </sheetPr>
  <dimension ref="B1:BI81"/>
  <sheetViews>
    <sheetView showRowColHeaders="0" workbookViewId="0">
      <selection activeCell="AK19" sqref="AK19:AL19"/>
    </sheetView>
  </sheetViews>
  <sheetFormatPr defaultColWidth="2.7109375" defaultRowHeight="12.95" customHeight="1" x14ac:dyDescent="0.2"/>
  <cols>
    <col min="1" max="29" width="2.7109375" style="1016" customWidth="1"/>
    <col min="30" max="30" width="2.5703125" style="1016" hidden="1" customWidth="1"/>
    <col min="31" max="40" width="2.7109375" style="1016" customWidth="1"/>
    <col min="41" max="55" width="2.7109375" style="1016" hidden="1" customWidth="1"/>
    <col min="56" max="67" width="0" style="1016" hidden="1" customWidth="1"/>
    <col min="68" max="16384" width="2.7109375" style="1016"/>
  </cols>
  <sheetData>
    <row r="1" spans="2:55" ht="12.95" customHeight="1" thickBot="1" x14ac:dyDescent="0.25"/>
    <row r="2" spans="2:55" ht="12.95" customHeight="1" thickBot="1" x14ac:dyDescent="0.25">
      <c r="B2" s="1533" t="s">
        <v>2433</v>
      </c>
      <c r="C2" s="1534"/>
      <c r="D2" s="1534"/>
      <c r="E2" s="1534"/>
      <c r="F2" s="1534"/>
      <c r="G2" s="1534"/>
      <c r="H2" s="1534"/>
      <c r="I2" s="1534"/>
      <c r="J2" s="1534"/>
      <c r="K2" s="1534"/>
      <c r="L2" s="1534"/>
      <c r="M2" s="1534"/>
      <c r="N2" s="1534"/>
      <c r="O2" s="1534"/>
      <c r="P2" s="1534"/>
      <c r="Q2" s="1534"/>
      <c r="R2" s="1534"/>
      <c r="S2" s="1534"/>
      <c r="T2" s="1534"/>
      <c r="U2" s="1534"/>
      <c r="V2" s="1534"/>
      <c r="W2" s="1534"/>
      <c r="X2" s="1534"/>
      <c r="Y2" s="1534"/>
      <c r="Z2" s="1534"/>
      <c r="AA2" s="1534"/>
      <c r="AB2" s="1534"/>
      <c r="AC2" s="1534"/>
      <c r="AD2" s="1534"/>
      <c r="AE2" s="1534"/>
      <c r="AF2" s="1534"/>
      <c r="AG2" s="1534"/>
      <c r="AH2" s="1534"/>
      <c r="AI2" s="1534"/>
      <c r="AJ2" s="1535"/>
      <c r="AO2" s="1555" t="s">
        <v>1082</v>
      </c>
      <c r="AP2" s="1556"/>
      <c r="AQ2" s="1556"/>
      <c r="AR2" s="1556"/>
      <c r="AS2" s="1556"/>
      <c r="AT2" s="1556"/>
      <c r="AU2" s="1556"/>
      <c r="AV2" s="1556"/>
      <c r="AW2" s="1556"/>
      <c r="AX2" s="1556"/>
      <c r="AY2" s="1556"/>
      <c r="AZ2" s="1556"/>
      <c r="BA2" s="1556"/>
      <c r="BB2" s="1556"/>
      <c r="BC2" s="1557"/>
    </row>
    <row r="3" spans="2:55" ht="12.95" customHeight="1" x14ac:dyDescent="0.2">
      <c r="B3" s="1529" t="s">
        <v>3766</v>
      </c>
      <c r="C3" s="1527"/>
      <c r="D3" s="1527"/>
      <c r="E3" s="1527"/>
      <c r="F3" s="1526" t="s">
        <v>1533</v>
      </c>
      <c r="G3" s="1527"/>
      <c r="H3" s="1527"/>
      <c r="I3" s="1527"/>
      <c r="J3" s="1527"/>
      <c r="K3" s="1527"/>
      <c r="L3" s="1527"/>
      <c r="M3" s="1527"/>
      <c r="N3" s="1527"/>
      <c r="O3" s="1527"/>
      <c r="P3" s="1527"/>
      <c r="Q3" s="1528"/>
      <c r="R3" s="1075" t="s">
        <v>791</v>
      </c>
      <c r="S3" s="1075"/>
      <c r="T3" s="1075"/>
      <c r="U3" s="1075"/>
      <c r="V3" s="1075"/>
      <c r="W3" s="1075"/>
      <c r="X3" s="1075"/>
      <c r="Y3" s="1075"/>
      <c r="Z3" s="1075"/>
      <c r="AA3" s="1075"/>
      <c r="AB3" s="1075"/>
      <c r="AC3" s="1055"/>
      <c r="AD3" s="1075"/>
      <c r="AE3" s="1523" t="s">
        <v>3497</v>
      </c>
      <c r="AF3" s="1524"/>
      <c r="AG3" s="1525"/>
      <c r="AH3" s="1523" t="s">
        <v>1093</v>
      </c>
      <c r="AI3" s="1524"/>
      <c r="AJ3" s="1542"/>
      <c r="AO3" s="1555" t="s">
        <v>2758</v>
      </c>
      <c r="AP3" s="1556"/>
      <c r="AQ3" s="1557"/>
      <c r="AR3" s="1555" t="s">
        <v>796</v>
      </c>
      <c r="AS3" s="1556"/>
      <c r="AT3" s="1557"/>
      <c r="AU3" s="1555" t="s">
        <v>797</v>
      </c>
      <c r="AV3" s="1556"/>
      <c r="AW3" s="1557"/>
      <c r="AX3" s="1555" t="s">
        <v>798</v>
      </c>
      <c r="AY3" s="1556"/>
      <c r="AZ3" s="1557"/>
      <c r="BA3" s="1555" t="s">
        <v>1531</v>
      </c>
      <c r="BB3" s="1556"/>
      <c r="BC3" s="1563"/>
    </row>
    <row r="4" spans="2:55" ht="12.95" customHeight="1" x14ac:dyDescent="0.2">
      <c r="B4" s="1519" t="s">
        <v>3770</v>
      </c>
      <c r="C4" s="1459"/>
      <c r="D4" s="1459"/>
      <c r="E4" s="1460"/>
      <c r="F4" s="1458" t="s">
        <v>813</v>
      </c>
      <c r="G4" s="1459"/>
      <c r="H4" s="1459"/>
      <c r="I4" s="1459"/>
      <c r="J4" s="1459"/>
      <c r="K4" s="1459"/>
      <c r="L4" s="1459"/>
      <c r="M4" s="1459"/>
      <c r="N4" s="1459"/>
      <c r="O4" s="1459"/>
      <c r="P4" s="1459"/>
      <c r="Q4" s="1460"/>
      <c r="R4" s="1458" t="s">
        <v>1115</v>
      </c>
      <c r="S4" s="1459"/>
      <c r="T4" s="1459"/>
      <c r="U4" s="1459"/>
      <c r="V4" s="1459"/>
      <c r="W4" s="1459"/>
      <c r="X4" s="1459"/>
      <c r="Y4" s="1459"/>
      <c r="Z4" s="1459"/>
      <c r="AA4" s="1459"/>
      <c r="AB4" s="1459"/>
      <c r="AC4" s="1460"/>
      <c r="AD4" s="1223" t="str">
        <f>B4&amp;" "&amp;F4&amp;", "&amp;R4</f>
        <v>1c-cuf-c Double pane, fixed sash, Metal no break</v>
      </c>
      <c r="AE4" s="1552">
        <v>0.69</v>
      </c>
      <c r="AF4" s="1553"/>
      <c r="AG4" s="1554"/>
      <c r="AH4" s="1552">
        <v>0.63</v>
      </c>
      <c r="AI4" s="1553"/>
      <c r="AJ4" s="1560"/>
      <c r="AO4" s="1546">
        <f>IF(AE4="","",KW!$J$67)</f>
        <v>138</v>
      </c>
      <c r="AP4" s="1547"/>
      <c r="AQ4" s="1548"/>
      <c r="AR4" s="1546">
        <f>IF($AE4="","",KW!$J$66)</f>
        <v>257</v>
      </c>
      <c r="AS4" s="1547"/>
      <c r="AT4" s="1548"/>
      <c r="AU4" s="1546">
        <f>IF($AE4="","",KW!$J$65)</f>
        <v>218</v>
      </c>
      <c r="AV4" s="1547"/>
      <c r="AW4" s="1548"/>
      <c r="AX4" s="1546">
        <f>IF($AE4="","",KW!$J$69)</f>
        <v>138</v>
      </c>
      <c r="AY4" s="1547"/>
      <c r="AZ4" s="1548"/>
      <c r="BA4" s="1546">
        <f>IF($AE4="","",KW!$J$70)</f>
        <v>189</v>
      </c>
      <c r="BB4" s="1547"/>
      <c r="BC4" s="1561"/>
    </row>
    <row r="5" spans="2:55" ht="12.95" customHeight="1" x14ac:dyDescent="0.2">
      <c r="B5" s="1519" t="s">
        <v>3770</v>
      </c>
      <c r="C5" s="1459"/>
      <c r="D5" s="1459"/>
      <c r="E5" s="1460"/>
      <c r="F5" s="1458" t="s">
        <v>813</v>
      </c>
      <c r="G5" s="1459"/>
      <c r="H5" s="1459"/>
      <c r="I5" s="1459"/>
      <c r="J5" s="1459"/>
      <c r="K5" s="1459"/>
      <c r="L5" s="1459"/>
      <c r="M5" s="1459"/>
      <c r="N5" s="1459"/>
      <c r="O5" s="1459"/>
      <c r="P5" s="1459"/>
      <c r="Q5" s="1460"/>
      <c r="R5" s="1458" t="s">
        <v>1116</v>
      </c>
      <c r="S5" s="1459"/>
      <c r="T5" s="1459"/>
      <c r="U5" s="1459"/>
      <c r="V5" s="1459"/>
      <c r="W5" s="1459"/>
      <c r="X5" s="1459"/>
      <c r="Y5" s="1459"/>
      <c r="Z5" s="1459"/>
      <c r="AA5" s="1459"/>
      <c r="AB5" s="1459"/>
      <c r="AC5" s="1460"/>
      <c r="AD5" s="1223" t="str">
        <f t="shared" ref="AD5:AD15" si="0">B5&amp;" "&amp;F5&amp;", "&amp;R5</f>
        <v>1c-cuf-c Double pane, fixed sash, Metal with break</v>
      </c>
      <c r="AE5" s="1552">
        <v>0.63</v>
      </c>
      <c r="AF5" s="1553"/>
      <c r="AG5" s="1554"/>
      <c r="AH5" s="1552">
        <v>0.63</v>
      </c>
      <c r="AI5" s="1553"/>
      <c r="AJ5" s="1560"/>
      <c r="AO5" s="1546">
        <f>IF(AE5="","",KW!$J$67)</f>
        <v>138</v>
      </c>
      <c r="AP5" s="1547"/>
      <c r="AQ5" s="1548"/>
      <c r="AR5" s="1546">
        <f>IF($AE5="","",KW!$J$66)</f>
        <v>257</v>
      </c>
      <c r="AS5" s="1547"/>
      <c r="AT5" s="1548"/>
      <c r="AU5" s="1546">
        <f>IF($AE5="","",KW!$J$65)</f>
        <v>218</v>
      </c>
      <c r="AV5" s="1547"/>
      <c r="AW5" s="1548"/>
      <c r="AX5" s="1546">
        <f>IF($AE5="","",KW!$J$69)</f>
        <v>138</v>
      </c>
      <c r="AY5" s="1547"/>
      <c r="AZ5" s="1548"/>
      <c r="BA5" s="1546">
        <f>IF($AE5="","",KW!$J$70)</f>
        <v>189</v>
      </c>
      <c r="BB5" s="1547"/>
      <c r="BC5" s="1561"/>
    </row>
    <row r="6" spans="2:55" ht="12.95" customHeight="1" x14ac:dyDescent="0.2">
      <c r="B6" s="1519" t="s">
        <v>3770</v>
      </c>
      <c r="C6" s="1459"/>
      <c r="D6" s="1459"/>
      <c r="E6" s="1460"/>
      <c r="F6" s="1458" t="s">
        <v>813</v>
      </c>
      <c r="G6" s="1459"/>
      <c r="H6" s="1459"/>
      <c r="I6" s="1459"/>
      <c r="J6" s="1459"/>
      <c r="K6" s="1459"/>
      <c r="L6" s="1459"/>
      <c r="M6" s="1459"/>
      <c r="N6" s="1459"/>
      <c r="O6" s="1459"/>
      <c r="P6" s="1459"/>
      <c r="Q6" s="1460"/>
      <c r="R6" s="1458" t="s">
        <v>795</v>
      </c>
      <c r="S6" s="1459"/>
      <c r="T6" s="1459"/>
      <c r="U6" s="1459"/>
      <c r="V6" s="1459"/>
      <c r="W6" s="1459"/>
      <c r="X6" s="1459"/>
      <c r="Y6" s="1459"/>
      <c r="Z6" s="1459"/>
      <c r="AA6" s="1459"/>
      <c r="AB6" s="1459"/>
      <c r="AC6" s="1460"/>
      <c r="AD6" s="1223" t="str">
        <f t="shared" si="0"/>
        <v>1c-cuf-c Double pane, fixed sash, Wood or wood clad</v>
      </c>
      <c r="AE6" s="1552">
        <v>0.56000000000000005</v>
      </c>
      <c r="AF6" s="1553"/>
      <c r="AG6" s="1554"/>
      <c r="AH6" s="1552">
        <v>0.61</v>
      </c>
      <c r="AI6" s="1553"/>
      <c r="AJ6" s="1560"/>
      <c r="AO6" s="1546">
        <f>IF(AE6="","",KW!$J$67)</f>
        <v>138</v>
      </c>
      <c r="AP6" s="1547"/>
      <c r="AQ6" s="1548"/>
      <c r="AR6" s="1546">
        <f>IF($AE6="","",KW!$J$66)</f>
        <v>257</v>
      </c>
      <c r="AS6" s="1547"/>
      <c r="AT6" s="1548"/>
      <c r="AU6" s="1546">
        <f>IF($AE6="","",KW!$J$65)</f>
        <v>218</v>
      </c>
      <c r="AV6" s="1547"/>
      <c r="AW6" s="1548"/>
      <c r="AX6" s="1546">
        <f>IF($AE6="","",KW!$J$69)</f>
        <v>138</v>
      </c>
      <c r="AY6" s="1547"/>
      <c r="AZ6" s="1548"/>
      <c r="BA6" s="1546">
        <f>IF($AE6="","",KW!$J$70)</f>
        <v>189</v>
      </c>
      <c r="BB6" s="1547"/>
      <c r="BC6" s="1561"/>
    </row>
    <row r="7" spans="2:55" ht="12.95" customHeight="1" x14ac:dyDescent="0.2">
      <c r="B7" s="1519" t="s">
        <v>3770</v>
      </c>
      <c r="C7" s="1459"/>
      <c r="D7" s="1459"/>
      <c r="E7" s="1460"/>
      <c r="F7" s="1458" t="s">
        <v>813</v>
      </c>
      <c r="G7" s="1459"/>
      <c r="H7" s="1459"/>
      <c r="I7" s="1459"/>
      <c r="J7" s="1459"/>
      <c r="K7" s="1459"/>
      <c r="L7" s="1459"/>
      <c r="M7" s="1459"/>
      <c r="N7" s="1459"/>
      <c r="O7" s="1459"/>
      <c r="P7" s="1459"/>
      <c r="Q7" s="1460"/>
      <c r="R7" s="1458" t="s">
        <v>1117</v>
      </c>
      <c r="S7" s="1459"/>
      <c r="T7" s="1459"/>
      <c r="U7" s="1459"/>
      <c r="V7" s="1459"/>
      <c r="W7" s="1459"/>
      <c r="X7" s="1459"/>
      <c r="Y7" s="1459"/>
      <c r="Z7" s="1459"/>
      <c r="AA7" s="1459"/>
      <c r="AB7" s="1459"/>
      <c r="AC7" s="1460"/>
      <c r="AD7" s="1223" t="str">
        <f t="shared" si="0"/>
        <v>1c-cuf-c Double pane, fixed sash, Insulated fiberglass</v>
      </c>
      <c r="AE7" s="1552">
        <v>0.56000000000000005</v>
      </c>
      <c r="AF7" s="1553"/>
      <c r="AG7" s="1554"/>
      <c r="AH7" s="1552">
        <v>0.61</v>
      </c>
      <c r="AI7" s="1553"/>
      <c r="AJ7" s="1560"/>
      <c r="AO7" s="1546">
        <f>IF(AE7="","",KW!$J$67)</f>
        <v>138</v>
      </c>
      <c r="AP7" s="1547"/>
      <c r="AQ7" s="1548"/>
      <c r="AR7" s="1546">
        <f>IF($AE7="","",KW!$J$66)</f>
        <v>257</v>
      </c>
      <c r="AS7" s="1547"/>
      <c r="AT7" s="1548"/>
      <c r="AU7" s="1546">
        <f>IF($AE7="","",KW!$J$65)</f>
        <v>218</v>
      </c>
      <c r="AV7" s="1547"/>
      <c r="AW7" s="1548"/>
      <c r="AX7" s="1546">
        <f>IF($AE7="","",KW!$J$69)</f>
        <v>138</v>
      </c>
      <c r="AY7" s="1547"/>
      <c r="AZ7" s="1548"/>
      <c r="BA7" s="1546">
        <f>IF($AE7="","",KW!$J$70)</f>
        <v>189</v>
      </c>
      <c r="BB7" s="1547"/>
      <c r="BC7" s="1561"/>
    </row>
    <row r="8" spans="2:55" ht="12.95" customHeight="1" x14ac:dyDescent="0.2">
      <c r="B8" s="1519" t="s">
        <v>3599</v>
      </c>
      <c r="C8" s="1459"/>
      <c r="D8" s="1459"/>
      <c r="E8" s="1460"/>
      <c r="F8" s="1458" t="s">
        <v>1111</v>
      </c>
      <c r="G8" s="1459"/>
      <c r="H8" s="1459"/>
      <c r="I8" s="1459"/>
      <c r="J8" s="1459"/>
      <c r="K8" s="1459"/>
      <c r="L8" s="1459"/>
      <c r="M8" s="1459"/>
      <c r="N8" s="1459"/>
      <c r="O8" s="1459"/>
      <c r="P8" s="1459"/>
      <c r="Q8" s="1460"/>
      <c r="R8" s="1458" t="s">
        <v>1115</v>
      </c>
      <c r="S8" s="1459"/>
      <c r="T8" s="1459"/>
      <c r="U8" s="1459"/>
      <c r="V8" s="1459"/>
      <c r="W8" s="1459"/>
      <c r="X8" s="1459"/>
      <c r="Y8" s="1459"/>
      <c r="Z8" s="1459"/>
      <c r="AA8" s="1459"/>
      <c r="AB8" s="1459"/>
      <c r="AC8" s="1460"/>
      <c r="AD8" s="1223" t="str">
        <f t="shared" si="0"/>
        <v>1A-cuf-c Single pane 1/4" glass, fixed sash, Metal no break</v>
      </c>
      <c r="AE8" s="1552">
        <v>1.1299999999999999</v>
      </c>
      <c r="AF8" s="1553"/>
      <c r="AG8" s="1554"/>
      <c r="AH8" s="1552">
        <v>0.74</v>
      </c>
      <c r="AI8" s="1553"/>
      <c r="AJ8" s="1560"/>
      <c r="AO8" s="1546">
        <f>IF(AE8="","",KW!$J$67)</f>
        <v>138</v>
      </c>
      <c r="AP8" s="1547"/>
      <c r="AQ8" s="1548"/>
      <c r="AR8" s="1546">
        <f>IF($AE8="","",KW!$J$66)</f>
        <v>257</v>
      </c>
      <c r="AS8" s="1547"/>
      <c r="AT8" s="1548"/>
      <c r="AU8" s="1546">
        <f>IF($AE8="","",KW!$J$65)</f>
        <v>218</v>
      </c>
      <c r="AV8" s="1547"/>
      <c r="AW8" s="1548"/>
      <c r="AX8" s="1546">
        <f>IF($AE8="","",KW!$J$69)</f>
        <v>138</v>
      </c>
      <c r="AY8" s="1547"/>
      <c r="AZ8" s="1548"/>
      <c r="BA8" s="1546">
        <f>IF($AE8="","",KW!$J$70)</f>
        <v>189</v>
      </c>
      <c r="BB8" s="1547"/>
      <c r="BC8" s="1561"/>
    </row>
    <row r="9" spans="2:55" ht="12.95" customHeight="1" x14ac:dyDescent="0.2">
      <c r="B9" s="1519" t="s">
        <v>1214</v>
      </c>
      <c r="C9" s="1459"/>
      <c r="D9" s="1459"/>
      <c r="E9" s="1460"/>
      <c r="F9" s="1458" t="s">
        <v>1112</v>
      </c>
      <c r="G9" s="1459"/>
      <c r="H9" s="1459"/>
      <c r="I9" s="1459"/>
      <c r="J9" s="1459"/>
      <c r="K9" s="1459"/>
      <c r="L9" s="1459"/>
      <c r="M9" s="1459"/>
      <c r="N9" s="1459"/>
      <c r="O9" s="1459"/>
      <c r="P9" s="1459"/>
      <c r="Q9" s="1460"/>
      <c r="R9" s="1458" t="s">
        <v>1115</v>
      </c>
      <c r="S9" s="1459"/>
      <c r="T9" s="1459"/>
      <c r="U9" s="1459"/>
      <c r="V9" s="1459"/>
      <c r="W9" s="1459"/>
      <c r="X9" s="1459"/>
      <c r="Y9" s="1459"/>
      <c r="Z9" s="1459"/>
      <c r="AA9" s="1459"/>
      <c r="AB9" s="1459"/>
      <c r="AC9" s="1460"/>
      <c r="AD9" s="1223" t="str">
        <f>B9&amp;" "&amp;F9&amp;", "&amp;R9</f>
        <v>1A-cuo-c Single pane 1/4" glass, operable glass, Metal no break</v>
      </c>
      <c r="AE9" s="1552">
        <v>1.27</v>
      </c>
      <c r="AF9" s="1553"/>
      <c r="AG9" s="1554"/>
      <c r="AH9" s="1552">
        <v>0.71</v>
      </c>
      <c r="AI9" s="1553"/>
      <c r="AJ9" s="1560"/>
      <c r="AO9" s="1546">
        <f>IF(AE9="","",KW!$J$67)</f>
        <v>138</v>
      </c>
      <c r="AP9" s="1547"/>
      <c r="AQ9" s="1548"/>
      <c r="AR9" s="1546">
        <f>IF($AE9="","",KW!$J$66)</f>
        <v>257</v>
      </c>
      <c r="AS9" s="1547"/>
      <c r="AT9" s="1548"/>
      <c r="AU9" s="1546">
        <f>IF($AE9="","",KW!$J$65)</f>
        <v>218</v>
      </c>
      <c r="AV9" s="1547"/>
      <c r="AW9" s="1548"/>
      <c r="AX9" s="1546">
        <f>IF($AE9="","",KW!$J$69)</f>
        <v>138</v>
      </c>
      <c r="AY9" s="1547"/>
      <c r="AZ9" s="1548"/>
      <c r="BA9" s="1546">
        <f>IF($AE9="","",KW!$J$70)</f>
        <v>189</v>
      </c>
      <c r="BB9" s="1547"/>
      <c r="BC9" s="1561"/>
    </row>
    <row r="10" spans="2:55" ht="12.95" customHeight="1" x14ac:dyDescent="0.2">
      <c r="B10" s="1519"/>
      <c r="C10" s="1459"/>
      <c r="D10" s="1459"/>
      <c r="E10" s="1460"/>
      <c r="F10" s="1458"/>
      <c r="G10" s="1459"/>
      <c r="H10" s="1459"/>
      <c r="I10" s="1459"/>
      <c r="J10" s="1459"/>
      <c r="K10" s="1459"/>
      <c r="L10" s="1459"/>
      <c r="M10" s="1459"/>
      <c r="N10" s="1459"/>
      <c r="O10" s="1459"/>
      <c r="P10" s="1459"/>
      <c r="Q10" s="1460"/>
      <c r="R10" s="1458"/>
      <c r="S10" s="1459"/>
      <c r="T10" s="1459"/>
      <c r="U10" s="1459"/>
      <c r="V10" s="1459"/>
      <c r="W10" s="1459"/>
      <c r="X10" s="1459"/>
      <c r="Y10" s="1459"/>
      <c r="Z10" s="1459"/>
      <c r="AA10" s="1459"/>
      <c r="AB10" s="1459"/>
      <c r="AC10" s="1460"/>
      <c r="AD10" s="1223" t="str">
        <f t="shared" si="0"/>
        <v xml:space="preserve"> , </v>
      </c>
      <c r="AE10" s="1552"/>
      <c r="AF10" s="1553"/>
      <c r="AG10" s="1554"/>
      <c r="AH10" s="1552"/>
      <c r="AI10" s="1553"/>
      <c r="AJ10" s="1560"/>
      <c r="AO10" s="1546" t="str">
        <f>IF(AE10="","",KW!$J$67)</f>
        <v/>
      </c>
      <c r="AP10" s="1547"/>
      <c r="AQ10" s="1548"/>
      <c r="AR10" s="1546" t="str">
        <f>IF($AE10="","",KW!$J$66)</f>
        <v/>
      </c>
      <c r="AS10" s="1547"/>
      <c r="AT10" s="1548"/>
      <c r="AU10" s="1546" t="str">
        <f>IF($AE10="","",KW!$J$65)</f>
        <v/>
      </c>
      <c r="AV10" s="1547"/>
      <c r="AW10" s="1548"/>
      <c r="AX10" s="1546" t="str">
        <f>IF($AE10="","",KW!$J$69)</f>
        <v/>
      </c>
      <c r="AY10" s="1547"/>
      <c r="AZ10" s="1548"/>
      <c r="BA10" s="1546" t="str">
        <f>IF($AE10="","",KW!$J$70)</f>
        <v/>
      </c>
      <c r="BB10" s="1547"/>
      <c r="BC10" s="1561"/>
    </row>
    <row r="11" spans="2:55" ht="12.95" customHeight="1" x14ac:dyDescent="0.2">
      <c r="B11" s="1519"/>
      <c r="C11" s="1459"/>
      <c r="D11" s="1459"/>
      <c r="E11" s="1460"/>
      <c r="F11" s="1458"/>
      <c r="G11" s="1459"/>
      <c r="H11" s="1459"/>
      <c r="I11" s="1459"/>
      <c r="J11" s="1459"/>
      <c r="K11" s="1459"/>
      <c r="L11" s="1459"/>
      <c r="M11" s="1459"/>
      <c r="N11" s="1459"/>
      <c r="O11" s="1459"/>
      <c r="P11" s="1459"/>
      <c r="Q11" s="1460"/>
      <c r="R11" s="1458"/>
      <c r="S11" s="1459"/>
      <c r="T11" s="1459"/>
      <c r="U11" s="1459"/>
      <c r="V11" s="1459"/>
      <c r="W11" s="1459"/>
      <c r="X11" s="1459"/>
      <c r="Y11" s="1459"/>
      <c r="Z11" s="1459"/>
      <c r="AA11" s="1459"/>
      <c r="AB11" s="1459"/>
      <c r="AC11" s="1460"/>
      <c r="AD11" s="1223" t="str">
        <f t="shared" si="0"/>
        <v xml:space="preserve"> , </v>
      </c>
      <c r="AE11" s="1552"/>
      <c r="AF11" s="1553"/>
      <c r="AG11" s="1554"/>
      <c r="AH11" s="1552"/>
      <c r="AI11" s="1553"/>
      <c r="AJ11" s="1560"/>
      <c r="AO11" s="1546" t="str">
        <f>IF(AE11="","",KW!$J$67)</f>
        <v/>
      </c>
      <c r="AP11" s="1547"/>
      <c r="AQ11" s="1548"/>
      <c r="AR11" s="1546" t="str">
        <f>IF($AE11="","",KW!$J$66)</f>
        <v/>
      </c>
      <c r="AS11" s="1547"/>
      <c r="AT11" s="1548"/>
      <c r="AU11" s="1546" t="str">
        <f>IF($AE11="","",KW!$J$65)</f>
        <v/>
      </c>
      <c r="AV11" s="1547"/>
      <c r="AW11" s="1548"/>
      <c r="AX11" s="1546" t="str">
        <f>IF($AE11="","",KW!$J$69)</f>
        <v/>
      </c>
      <c r="AY11" s="1547"/>
      <c r="AZ11" s="1548"/>
      <c r="BA11" s="1546" t="str">
        <f>IF($AE11="","",KW!$J$70)</f>
        <v/>
      </c>
      <c r="BB11" s="1547"/>
      <c r="BC11" s="1561"/>
    </row>
    <row r="12" spans="2:55" ht="12.95" customHeight="1" x14ac:dyDescent="0.2">
      <c r="B12" s="1519"/>
      <c r="C12" s="1459"/>
      <c r="D12" s="1459"/>
      <c r="E12" s="1460"/>
      <c r="F12" s="1458"/>
      <c r="G12" s="1459"/>
      <c r="H12" s="1459"/>
      <c r="I12" s="1459"/>
      <c r="J12" s="1459"/>
      <c r="K12" s="1459"/>
      <c r="L12" s="1459"/>
      <c r="M12" s="1459"/>
      <c r="N12" s="1459"/>
      <c r="O12" s="1459"/>
      <c r="P12" s="1459"/>
      <c r="Q12" s="1460"/>
      <c r="R12" s="1458"/>
      <c r="S12" s="1459"/>
      <c r="T12" s="1459"/>
      <c r="U12" s="1459"/>
      <c r="V12" s="1459"/>
      <c r="W12" s="1459"/>
      <c r="X12" s="1459"/>
      <c r="Y12" s="1459"/>
      <c r="Z12" s="1459"/>
      <c r="AA12" s="1459"/>
      <c r="AB12" s="1459"/>
      <c r="AC12" s="1460"/>
      <c r="AD12" s="1223" t="str">
        <f t="shared" si="0"/>
        <v xml:space="preserve"> , </v>
      </c>
      <c r="AE12" s="1552"/>
      <c r="AF12" s="1553"/>
      <c r="AG12" s="1554"/>
      <c r="AH12" s="1552"/>
      <c r="AI12" s="1553"/>
      <c r="AJ12" s="1560"/>
      <c r="AO12" s="1546" t="str">
        <f>IF(AE12="","",KW!$J$67)</f>
        <v/>
      </c>
      <c r="AP12" s="1547"/>
      <c r="AQ12" s="1548"/>
      <c r="AR12" s="1546" t="str">
        <f>IF($AE12="","",KW!$J$66)</f>
        <v/>
      </c>
      <c r="AS12" s="1547"/>
      <c r="AT12" s="1548"/>
      <c r="AU12" s="1546" t="str">
        <f>IF($AE12="","",KW!$J$65)</f>
        <v/>
      </c>
      <c r="AV12" s="1547"/>
      <c r="AW12" s="1548"/>
      <c r="AX12" s="1546" t="str">
        <f>IF($AE12="","",KW!$J$69)</f>
        <v/>
      </c>
      <c r="AY12" s="1547"/>
      <c r="AZ12" s="1548"/>
      <c r="BA12" s="1546" t="str">
        <f>IF($AE12="","",KW!$J$70)</f>
        <v/>
      </c>
      <c r="BB12" s="1547"/>
      <c r="BC12" s="1561"/>
    </row>
    <row r="13" spans="2:55" ht="12.95" customHeight="1" x14ac:dyDescent="0.2">
      <c r="B13" s="1519"/>
      <c r="C13" s="1459"/>
      <c r="D13" s="1459"/>
      <c r="E13" s="1460"/>
      <c r="F13" s="1458"/>
      <c r="G13" s="1459"/>
      <c r="H13" s="1459"/>
      <c r="I13" s="1459"/>
      <c r="J13" s="1459"/>
      <c r="K13" s="1459"/>
      <c r="L13" s="1459"/>
      <c r="M13" s="1459"/>
      <c r="N13" s="1459"/>
      <c r="O13" s="1459"/>
      <c r="P13" s="1459"/>
      <c r="Q13" s="1460"/>
      <c r="R13" s="1458"/>
      <c r="S13" s="1459"/>
      <c r="T13" s="1459"/>
      <c r="U13" s="1459"/>
      <c r="V13" s="1459"/>
      <c r="W13" s="1459"/>
      <c r="X13" s="1459"/>
      <c r="Y13" s="1459"/>
      <c r="Z13" s="1459"/>
      <c r="AA13" s="1459"/>
      <c r="AB13" s="1459"/>
      <c r="AC13" s="1460"/>
      <c r="AD13" s="1223" t="str">
        <f t="shared" si="0"/>
        <v xml:space="preserve"> , </v>
      </c>
      <c r="AE13" s="1552"/>
      <c r="AF13" s="1553"/>
      <c r="AG13" s="1554"/>
      <c r="AH13" s="1552"/>
      <c r="AI13" s="1553"/>
      <c r="AJ13" s="1560"/>
      <c r="AO13" s="1546" t="str">
        <f>IF(AE13="","",KW!$J$67)</f>
        <v/>
      </c>
      <c r="AP13" s="1547"/>
      <c r="AQ13" s="1548"/>
      <c r="AR13" s="1546" t="str">
        <f>IF($AE13="","",KW!$J$66)</f>
        <v/>
      </c>
      <c r="AS13" s="1547"/>
      <c r="AT13" s="1548"/>
      <c r="AU13" s="1546" t="str">
        <f>IF($AE13="","",KW!$J$65)</f>
        <v/>
      </c>
      <c r="AV13" s="1547"/>
      <c r="AW13" s="1548"/>
      <c r="AX13" s="1546" t="str">
        <f>IF($AE13="","",KW!$J$69)</f>
        <v/>
      </c>
      <c r="AY13" s="1547"/>
      <c r="AZ13" s="1548"/>
      <c r="BA13" s="1546" t="str">
        <f>IF($AE13="","",KW!$J$70)</f>
        <v/>
      </c>
      <c r="BB13" s="1547"/>
      <c r="BC13" s="1561"/>
    </row>
    <row r="14" spans="2:55" ht="12.95" customHeight="1" x14ac:dyDescent="0.2">
      <c r="B14" s="1519"/>
      <c r="C14" s="1459"/>
      <c r="D14" s="1459"/>
      <c r="E14" s="1460"/>
      <c r="F14" s="1458"/>
      <c r="G14" s="1459"/>
      <c r="H14" s="1459"/>
      <c r="I14" s="1459"/>
      <c r="J14" s="1459"/>
      <c r="K14" s="1459"/>
      <c r="L14" s="1459"/>
      <c r="M14" s="1459"/>
      <c r="N14" s="1459"/>
      <c r="O14" s="1459"/>
      <c r="P14" s="1459"/>
      <c r="Q14" s="1460"/>
      <c r="R14" s="1458"/>
      <c r="S14" s="1459"/>
      <c r="T14" s="1459"/>
      <c r="U14" s="1459"/>
      <c r="V14" s="1459"/>
      <c r="W14" s="1459"/>
      <c r="X14" s="1459"/>
      <c r="Y14" s="1459"/>
      <c r="Z14" s="1459"/>
      <c r="AA14" s="1459"/>
      <c r="AB14" s="1459"/>
      <c r="AC14" s="1460"/>
      <c r="AD14" s="1223" t="str">
        <f t="shared" si="0"/>
        <v xml:space="preserve"> , </v>
      </c>
      <c r="AE14" s="1552"/>
      <c r="AF14" s="1553"/>
      <c r="AG14" s="1554"/>
      <c r="AH14" s="1552"/>
      <c r="AI14" s="1553"/>
      <c r="AJ14" s="1560"/>
      <c r="AO14" s="1546" t="str">
        <f>IF(AE14="","",KW!$J$67)</f>
        <v/>
      </c>
      <c r="AP14" s="1547"/>
      <c r="AQ14" s="1548"/>
      <c r="AR14" s="1546" t="str">
        <f>IF($AE14="","",KW!$J$66)</f>
        <v/>
      </c>
      <c r="AS14" s="1547"/>
      <c r="AT14" s="1548"/>
      <c r="AU14" s="1546" t="str">
        <f>IF($AE14="","",KW!$J$65)</f>
        <v/>
      </c>
      <c r="AV14" s="1547"/>
      <c r="AW14" s="1548"/>
      <c r="AX14" s="1546" t="str">
        <f>IF($AE14="","",KW!$J$69)</f>
        <v/>
      </c>
      <c r="AY14" s="1547"/>
      <c r="AZ14" s="1548"/>
      <c r="BA14" s="1546" t="str">
        <f>IF($AE14="","",KW!$J$70)</f>
        <v/>
      </c>
      <c r="BB14" s="1547"/>
      <c r="BC14" s="1561"/>
    </row>
    <row r="15" spans="2:55" ht="12.95" customHeight="1" thickBot="1" x14ac:dyDescent="0.25">
      <c r="B15" s="1530"/>
      <c r="C15" s="1531"/>
      <c r="D15" s="1531"/>
      <c r="E15" s="1532"/>
      <c r="F15" s="1540"/>
      <c r="G15" s="1531"/>
      <c r="H15" s="1531"/>
      <c r="I15" s="1531"/>
      <c r="J15" s="1531"/>
      <c r="K15" s="1531"/>
      <c r="L15" s="1531"/>
      <c r="M15" s="1531"/>
      <c r="N15" s="1531"/>
      <c r="O15" s="1531"/>
      <c r="P15" s="1531"/>
      <c r="Q15" s="1532"/>
      <c r="R15" s="1540"/>
      <c r="S15" s="1531"/>
      <c r="T15" s="1531"/>
      <c r="U15" s="1531"/>
      <c r="V15" s="1531"/>
      <c r="W15" s="1531"/>
      <c r="X15" s="1531"/>
      <c r="Y15" s="1531"/>
      <c r="Z15" s="1531"/>
      <c r="AA15" s="1531"/>
      <c r="AB15" s="1531"/>
      <c r="AC15" s="1532"/>
      <c r="AD15" s="1224" t="str">
        <f t="shared" si="0"/>
        <v xml:space="preserve"> , </v>
      </c>
      <c r="AE15" s="1549"/>
      <c r="AF15" s="1550"/>
      <c r="AG15" s="1551"/>
      <c r="AH15" s="1549"/>
      <c r="AI15" s="1550"/>
      <c r="AJ15" s="1562"/>
      <c r="AO15" s="1546" t="str">
        <f>IF(AE15="","",KW!$J$67)</f>
        <v/>
      </c>
      <c r="AP15" s="1547"/>
      <c r="AQ15" s="1548"/>
      <c r="AR15" s="1546" t="str">
        <f>IF($AE15="","",KW!$J$66)</f>
        <v/>
      </c>
      <c r="AS15" s="1547"/>
      <c r="AT15" s="1548"/>
      <c r="AU15" s="1546" t="str">
        <f>IF($AE15="","",KW!$J$65)</f>
        <v/>
      </c>
      <c r="AV15" s="1547"/>
      <c r="AW15" s="1548"/>
      <c r="AX15" s="1546" t="str">
        <f>IF($AE15="","",KW!$J$69)</f>
        <v/>
      </c>
      <c r="AY15" s="1547"/>
      <c r="AZ15" s="1548"/>
      <c r="BA15" s="1546" t="str">
        <f>IF($AE15="","",KW!$J$70)</f>
        <v/>
      </c>
      <c r="BB15" s="1547"/>
      <c r="BC15" s="1561"/>
    </row>
    <row r="16" spans="2:55" ht="12.95" customHeight="1" thickBot="1" x14ac:dyDescent="0.25"/>
    <row r="17" spans="2:61" ht="12.95" customHeight="1" thickBot="1" x14ac:dyDescent="0.25">
      <c r="B17" s="1533" t="s">
        <v>2432</v>
      </c>
      <c r="C17" s="1534"/>
      <c r="D17" s="1534"/>
      <c r="E17" s="1534"/>
      <c r="F17" s="1534"/>
      <c r="G17" s="1534"/>
      <c r="H17" s="1534"/>
      <c r="I17" s="1534"/>
      <c r="J17" s="1534"/>
      <c r="K17" s="1534"/>
      <c r="L17" s="1534"/>
      <c r="M17" s="1534"/>
      <c r="N17" s="1534"/>
      <c r="O17" s="1534"/>
      <c r="P17" s="1534"/>
      <c r="Q17" s="1534"/>
      <c r="R17" s="1534"/>
      <c r="S17" s="1534"/>
      <c r="T17" s="1534"/>
      <c r="U17" s="1534"/>
      <c r="V17" s="1534"/>
      <c r="W17" s="1534"/>
      <c r="X17" s="1534"/>
      <c r="Y17" s="1534"/>
      <c r="Z17" s="1534"/>
      <c r="AA17" s="1534"/>
      <c r="AB17" s="1534"/>
      <c r="AC17" s="1534"/>
      <c r="AD17" s="1534"/>
      <c r="AE17" s="1534"/>
      <c r="AF17" s="1534"/>
      <c r="AG17" s="1534"/>
      <c r="AH17" s="1534"/>
      <c r="AI17" s="1534"/>
      <c r="AJ17" s="1534"/>
      <c r="AK17" s="1534"/>
      <c r="AL17" s="1534"/>
      <c r="AM17" s="1534"/>
      <c r="AN17" s="1535"/>
      <c r="AU17" s="1555" t="s">
        <v>1082</v>
      </c>
      <c r="AV17" s="1556"/>
      <c r="AW17" s="1556"/>
      <c r="AX17" s="1556"/>
      <c r="AY17" s="1556"/>
      <c r="AZ17" s="1556"/>
      <c r="BA17" s="1556"/>
      <c r="BB17" s="1556"/>
      <c r="BC17" s="1556"/>
      <c r="BD17" s="1556"/>
      <c r="BE17" s="1556"/>
      <c r="BF17" s="1556"/>
      <c r="BG17" s="1556"/>
      <c r="BH17" s="1556"/>
      <c r="BI17" s="1557"/>
    </row>
    <row r="18" spans="2:61" ht="12.95" customHeight="1" x14ac:dyDescent="0.2">
      <c r="B18" s="1529" t="s">
        <v>1532</v>
      </c>
      <c r="C18" s="1527"/>
      <c r="D18" s="1527"/>
      <c r="E18" s="1527"/>
      <c r="F18" s="1526" t="s">
        <v>1533</v>
      </c>
      <c r="G18" s="1527"/>
      <c r="H18" s="1527"/>
      <c r="I18" s="1527"/>
      <c r="J18" s="1527"/>
      <c r="K18" s="1527"/>
      <c r="L18" s="1527"/>
      <c r="M18" s="1527"/>
      <c r="N18" s="1527"/>
      <c r="O18" s="1527"/>
      <c r="P18" s="1527"/>
      <c r="Q18" s="1528"/>
      <c r="R18" s="1075" t="s">
        <v>791</v>
      </c>
      <c r="S18" s="1075"/>
      <c r="T18" s="1075"/>
      <c r="U18" s="1075"/>
      <c r="V18" s="1075"/>
      <c r="W18" s="1075"/>
      <c r="X18" s="1075"/>
      <c r="Y18" s="1075"/>
      <c r="Z18" s="1075"/>
      <c r="AA18" s="1075"/>
      <c r="AB18" s="1075"/>
      <c r="AC18" s="1055"/>
      <c r="AD18" s="1075"/>
      <c r="AE18" s="1523" t="s">
        <v>3790</v>
      </c>
      <c r="AF18" s="1524"/>
      <c r="AG18" s="1525"/>
      <c r="AH18" s="1523" t="s">
        <v>1093</v>
      </c>
      <c r="AI18" s="1524"/>
      <c r="AJ18" s="1524"/>
      <c r="AK18" s="1558" t="s">
        <v>3795</v>
      </c>
      <c r="AL18" s="1558"/>
      <c r="AM18" s="1558" t="s">
        <v>3796</v>
      </c>
      <c r="AN18" s="1559"/>
      <c r="AU18" s="1555" t="s">
        <v>2758</v>
      </c>
      <c r="AV18" s="1556"/>
      <c r="AW18" s="1557"/>
      <c r="AX18" s="1555" t="s">
        <v>796</v>
      </c>
      <c r="AY18" s="1556"/>
      <c r="AZ18" s="1557"/>
      <c r="BA18" s="1555" t="s">
        <v>797</v>
      </c>
      <c r="BB18" s="1556"/>
      <c r="BC18" s="1557"/>
      <c r="BD18" s="1555" t="s">
        <v>798</v>
      </c>
      <c r="BE18" s="1556"/>
      <c r="BF18" s="1557"/>
      <c r="BG18" s="1555" t="s">
        <v>1531</v>
      </c>
      <c r="BH18" s="1556"/>
      <c r="BI18" s="1557"/>
    </row>
    <row r="19" spans="2:61" ht="12.95" customHeight="1" x14ac:dyDescent="0.2">
      <c r="B19" s="1519" t="s">
        <v>401</v>
      </c>
      <c r="C19" s="1459"/>
      <c r="D19" s="1459"/>
      <c r="E19" s="1460"/>
      <c r="F19" s="1458" t="s">
        <v>1113</v>
      </c>
      <c r="G19" s="1459"/>
      <c r="H19" s="1459"/>
      <c r="I19" s="1459"/>
      <c r="J19" s="1459"/>
      <c r="K19" s="1459"/>
      <c r="L19" s="1459"/>
      <c r="M19" s="1459"/>
      <c r="N19" s="1459"/>
      <c r="O19" s="1459"/>
      <c r="P19" s="1459"/>
      <c r="Q19" s="1460"/>
      <c r="R19" s="1458" t="s">
        <v>1114</v>
      </c>
      <c r="S19" s="1459"/>
      <c r="T19" s="1459"/>
      <c r="U19" s="1459"/>
      <c r="V19" s="1459"/>
      <c r="W19" s="1459"/>
      <c r="X19" s="1459"/>
      <c r="Y19" s="1459"/>
      <c r="Z19" s="1459"/>
      <c r="AA19" s="1459"/>
      <c r="AB19" s="1459"/>
      <c r="AC19" s="1460"/>
      <c r="AD19" s="1223" t="str">
        <f t="shared" ref="AD19:AD24" si="1">B19&amp;" "&amp;F19&amp;", "&amp;R19</f>
        <v>8cuf-c Flat generic skylight 1/4" glass, Metal sash no break (U=1.13)</v>
      </c>
      <c r="AE19" s="1552">
        <v>1.1299999999999999</v>
      </c>
      <c r="AF19" s="1553"/>
      <c r="AG19" s="1554"/>
      <c r="AH19" s="1552">
        <v>0.74</v>
      </c>
      <c r="AI19" s="1553"/>
      <c r="AJ19" s="1553"/>
      <c r="AK19" s="1516">
        <v>1.1000000000000001</v>
      </c>
      <c r="AL19" s="1516"/>
      <c r="AM19" s="1516">
        <v>0.47</v>
      </c>
      <c r="AN19" s="1518"/>
      <c r="AU19" s="1546">
        <f>IF(AE19="","",KW!$J$67)</f>
        <v>138</v>
      </c>
      <c r="AV19" s="1547"/>
      <c r="AW19" s="1548"/>
      <c r="AX19" s="1546">
        <f>IF($AE19="","",KW!$J$66)</f>
        <v>257</v>
      </c>
      <c r="AY19" s="1547"/>
      <c r="AZ19" s="1548"/>
      <c r="BA19" s="1546">
        <f>IF($AE19="","",KW!$J$65)</f>
        <v>218</v>
      </c>
      <c r="BB19" s="1547"/>
      <c r="BC19" s="1548"/>
      <c r="BD19" s="1546">
        <f>IF($AE19="","",KW!$J$69)</f>
        <v>138</v>
      </c>
      <c r="BE19" s="1547"/>
      <c r="BF19" s="1548"/>
      <c r="BG19" s="1546">
        <f>IF($AE19="","",KW!$J$70)</f>
        <v>189</v>
      </c>
      <c r="BH19" s="1547"/>
      <c r="BI19" s="1548"/>
    </row>
    <row r="20" spans="2:61" ht="12.95" customHeight="1" x14ac:dyDescent="0.2">
      <c r="B20" s="1519"/>
      <c r="C20" s="1459"/>
      <c r="D20" s="1459"/>
      <c r="E20" s="1460"/>
      <c r="F20" s="1458"/>
      <c r="G20" s="1459"/>
      <c r="H20" s="1459"/>
      <c r="I20" s="1459"/>
      <c r="J20" s="1459"/>
      <c r="K20" s="1459"/>
      <c r="L20" s="1459"/>
      <c r="M20" s="1459"/>
      <c r="N20" s="1459"/>
      <c r="O20" s="1459"/>
      <c r="P20" s="1459"/>
      <c r="Q20" s="1460"/>
      <c r="R20" s="1458"/>
      <c r="S20" s="1459"/>
      <c r="T20" s="1459"/>
      <c r="U20" s="1459"/>
      <c r="V20" s="1459"/>
      <c r="W20" s="1459"/>
      <c r="X20" s="1459"/>
      <c r="Y20" s="1459"/>
      <c r="Z20" s="1459"/>
      <c r="AA20" s="1459"/>
      <c r="AB20" s="1459"/>
      <c r="AC20" s="1460"/>
      <c r="AD20" s="1223" t="str">
        <f t="shared" si="1"/>
        <v xml:space="preserve"> , </v>
      </c>
      <c r="AE20" s="1552"/>
      <c r="AF20" s="1553"/>
      <c r="AG20" s="1554"/>
      <c r="AH20" s="1552"/>
      <c r="AI20" s="1553"/>
      <c r="AJ20" s="1553"/>
      <c r="AK20" s="1516"/>
      <c r="AL20" s="1516"/>
      <c r="AM20" s="1516"/>
      <c r="AN20" s="1518"/>
      <c r="AU20" s="1546" t="str">
        <f>IF(AE20="","",KW!$J$67)</f>
        <v/>
      </c>
      <c r="AV20" s="1547"/>
      <c r="AW20" s="1548"/>
      <c r="AX20" s="1546" t="str">
        <f>IF($AE20="","",KW!$J$66)</f>
        <v/>
      </c>
      <c r="AY20" s="1547"/>
      <c r="AZ20" s="1548"/>
      <c r="BA20" s="1546" t="str">
        <f>IF($AE20="","",KW!$J$65)</f>
        <v/>
      </c>
      <c r="BB20" s="1547"/>
      <c r="BC20" s="1548"/>
      <c r="BD20" s="1546" t="str">
        <f>IF($AE20="","",KW!$J$69)</f>
        <v/>
      </c>
      <c r="BE20" s="1547"/>
      <c r="BF20" s="1548"/>
      <c r="BG20" s="1546" t="str">
        <f>IF($AE20="","",KW!$J$70)</f>
        <v/>
      </c>
      <c r="BH20" s="1547"/>
      <c r="BI20" s="1548"/>
    </row>
    <row r="21" spans="2:61" ht="12.95" customHeight="1" x14ac:dyDescent="0.2">
      <c r="B21" s="1519"/>
      <c r="C21" s="1459"/>
      <c r="D21" s="1459"/>
      <c r="E21" s="1460"/>
      <c r="F21" s="1458"/>
      <c r="G21" s="1459"/>
      <c r="H21" s="1459"/>
      <c r="I21" s="1459"/>
      <c r="J21" s="1459"/>
      <c r="K21" s="1459"/>
      <c r="L21" s="1459"/>
      <c r="M21" s="1459"/>
      <c r="N21" s="1459"/>
      <c r="O21" s="1459"/>
      <c r="P21" s="1459"/>
      <c r="Q21" s="1460"/>
      <c r="R21" s="1458"/>
      <c r="S21" s="1459"/>
      <c r="T21" s="1459"/>
      <c r="U21" s="1459"/>
      <c r="V21" s="1459"/>
      <c r="W21" s="1459"/>
      <c r="X21" s="1459"/>
      <c r="Y21" s="1459"/>
      <c r="Z21" s="1459"/>
      <c r="AA21" s="1459"/>
      <c r="AB21" s="1459"/>
      <c r="AC21" s="1460"/>
      <c r="AD21" s="1223" t="str">
        <f t="shared" si="1"/>
        <v xml:space="preserve"> , </v>
      </c>
      <c r="AE21" s="1552"/>
      <c r="AF21" s="1553"/>
      <c r="AG21" s="1554"/>
      <c r="AH21" s="1552"/>
      <c r="AI21" s="1553"/>
      <c r="AJ21" s="1553"/>
      <c r="AK21" s="1516"/>
      <c r="AL21" s="1516"/>
      <c r="AM21" s="1516"/>
      <c r="AN21" s="1518"/>
      <c r="AU21" s="1546" t="str">
        <f>IF(AE21="","",KW!$J$67)</f>
        <v/>
      </c>
      <c r="AV21" s="1547"/>
      <c r="AW21" s="1548"/>
      <c r="AX21" s="1546" t="str">
        <f>IF($AE21="","",KW!$J$66)</f>
        <v/>
      </c>
      <c r="AY21" s="1547"/>
      <c r="AZ21" s="1548"/>
      <c r="BA21" s="1546" t="str">
        <f>IF($AE21="","",KW!$J$65)</f>
        <v/>
      </c>
      <c r="BB21" s="1547"/>
      <c r="BC21" s="1548"/>
      <c r="BD21" s="1546" t="str">
        <f>IF($AE21="","",KW!$J$69)</f>
        <v/>
      </c>
      <c r="BE21" s="1547"/>
      <c r="BF21" s="1548"/>
      <c r="BG21" s="1546" t="str">
        <f>IF($AE21="","",KW!$J$70)</f>
        <v/>
      </c>
      <c r="BH21" s="1547"/>
      <c r="BI21" s="1548"/>
    </row>
    <row r="22" spans="2:61" ht="12.95" customHeight="1" x14ac:dyDescent="0.2">
      <c r="B22" s="1519"/>
      <c r="C22" s="1459"/>
      <c r="D22" s="1459"/>
      <c r="E22" s="1460"/>
      <c r="F22" s="1458"/>
      <c r="G22" s="1459"/>
      <c r="H22" s="1459"/>
      <c r="I22" s="1459"/>
      <c r="J22" s="1459"/>
      <c r="K22" s="1459"/>
      <c r="L22" s="1459"/>
      <c r="M22" s="1459"/>
      <c r="N22" s="1459"/>
      <c r="O22" s="1459"/>
      <c r="P22" s="1459"/>
      <c r="Q22" s="1460"/>
      <c r="R22" s="1458"/>
      <c r="S22" s="1459"/>
      <c r="T22" s="1459"/>
      <c r="U22" s="1459"/>
      <c r="V22" s="1459"/>
      <c r="W22" s="1459"/>
      <c r="X22" s="1459"/>
      <c r="Y22" s="1459"/>
      <c r="Z22" s="1459"/>
      <c r="AA22" s="1459"/>
      <c r="AB22" s="1459"/>
      <c r="AC22" s="1460"/>
      <c r="AD22" s="1223" t="str">
        <f t="shared" si="1"/>
        <v xml:space="preserve"> , </v>
      </c>
      <c r="AE22" s="1552"/>
      <c r="AF22" s="1553"/>
      <c r="AG22" s="1554"/>
      <c r="AH22" s="1552"/>
      <c r="AI22" s="1553"/>
      <c r="AJ22" s="1553"/>
      <c r="AK22" s="1516"/>
      <c r="AL22" s="1516"/>
      <c r="AM22" s="1516"/>
      <c r="AN22" s="1518"/>
      <c r="AU22" s="1546" t="str">
        <f>IF(AE22="","",KW!$J$67)</f>
        <v/>
      </c>
      <c r="AV22" s="1547"/>
      <c r="AW22" s="1548"/>
      <c r="AX22" s="1546" t="str">
        <f>IF($AE22="","",KW!$J$66)</f>
        <v/>
      </c>
      <c r="AY22" s="1547"/>
      <c r="AZ22" s="1548"/>
      <c r="BA22" s="1546" t="str">
        <f>IF($AE22="","",KW!$J$65)</f>
        <v/>
      </c>
      <c r="BB22" s="1547"/>
      <c r="BC22" s="1548"/>
      <c r="BD22" s="1546" t="str">
        <f>IF($AE22="","",KW!$J$69)</f>
        <v/>
      </c>
      <c r="BE22" s="1547"/>
      <c r="BF22" s="1548"/>
      <c r="BG22" s="1546" t="str">
        <f>IF($AE22="","",KW!$J$70)</f>
        <v/>
      </c>
      <c r="BH22" s="1547"/>
      <c r="BI22" s="1548"/>
    </row>
    <row r="23" spans="2:61" ht="12.95" customHeight="1" x14ac:dyDescent="0.2">
      <c r="B23" s="1519"/>
      <c r="C23" s="1459"/>
      <c r="D23" s="1459"/>
      <c r="E23" s="1460"/>
      <c r="F23" s="1458"/>
      <c r="G23" s="1459"/>
      <c r="H23" s="1459"/>
      <c r="I23" s="1459"/>
      <c r="J23" s="1459"/>
      <c r="K23" s="1459"/>
      <c r="L23" s="1459"/>
      <c r="M23" s="1459"/>
      <c r="N23" s="1459"/>
      <c r="O23" s="1459"/>
      <c r="P23" s="1459"/>
      <c r="Q23" s="1460"/>
      <c r="R23" s="1458"/>
      <c r="S23" s="1459"/>
      <c r="T23" s="1459"/>
      <c r="U23" s="1459"/>
      <c r="V23" s="1459"/>
      <c r="W23" s="1459"/>
      <c r="X23" s="1459"/>
      <c r="Y23" s="1459"/>
      <c r="Z23" s="1459"/>
      <c r="AA23" s="1459"/>
      <c r="AB23" s="1459"/>
      <c r="AC23" s="1460"/>
      <c r="AD23" s="1223" t="str">
        <f t="shared" si="1"/>
        <v xml:space="preserve"> , </v>
      </c>
      <c r="AE23" s="1552"/>
      <c r="AF23" s="1553"/>
      <c r="AG23" s="1554"/>
      <c r="AH23" s="1552"/>
      <c r="AI23" s="1553"/>
      <c r="AJ23" s="1553"/>
      <c r="AK23" s="1516"/>
      <c r="AL23" s="1516"/>
      <c r="AM23" s="1516"/>
      <c r="AN23" s="1518"/>
      <c r="AU23" s="1546" t="str">
        <f>IF(AE23="","",KW!$J$67)</f>
        <v/>
      </c>
      <c r="AV23" s="1547"/>
      <c r="AW23" s="1548"/>
      <c r="AX23" s="1546" t="str">
        <f>IF($AE23="","",KW!$J$66)</f>
        <v/>
      </c>
      <c r="AY23" s="1547"/>
      <c r="AZ23" s="1548"/>
      <c r="BA23" s="1546" t="str">
        <f>IF($AE23="","",KW!$J$65)</f>
        <v/>
      </c>
      <c r="BB23" s="1547"/>
      <c r="BC23" s="1548"/>
      <c r="BD23" s="1546" t="str">
        <f>IF($AE23="","",KW!$J$69)</f>
        <v/>
      </c>
      <c r="BE23" s="1547"/>
      <c r="BF23" s="1548"/>
      <c r="BG23" s="1546" t="str">
        <f>IF($AE23="","",KW!$J$70)</f>
        <v/>
      </c>
      <c r="BH23" s="1547"/>
      <c r="BI23" s="1548"/>
    </row>
    <row r="24" spans="2:61" ht="12.95" customHeight="1" thickBot="1" x14ac:dyDescent="0.25">
      <c r="B24" s="1530"/>
      <c r="C24" s="1531"/>
      <c r="D24" s="1531"/>
      <c r="E24" s="1532"/>
      <c r="F24" s="1540"/>
      <c r="G24" s="1531"/>
      <c r="H24" s="1531"/>
      <c r="I24" s="1531"/>
      <c r="J24" s="1531"/>
      <c r="K24" s="1531"/>
      <c r="L24" s="1531"/>
      <c r="M24" s="1531"/>
      <c r="N24" s="1531"/>
      <c r="O24" s="1531"/>
      <c r="P24" s="1531"/>
      <c r="Q24" s="1532"/>
      <c r="R24" s="1540"/>
      <c r="S24" s="1531"/>
      <c r="T24" s="1531"/>
      <c r="U24" s="1531"/>
      <c r="V24" s="1531"/>
      <c r="W24" s="1531"/>
      <c r="X24" s="1531"/>
      <c r="Y24" s="1531"/>
      <c r="Z24" s="1531"/>
      <c r="AA24" s="1531"/>
      <c r="AB24" s="1531"/>
      <c r="AC24" s="1532"/>
      <c r="AD24" s="1224" t="str">
        <f t="shared" si="1"/>
        <v xml:space="preserve"> , </v>
      </c>
      <c r="AE24" s="1549"/>
      <c r="AF24" s="1550"/>
      <c r="AG24" s="1551"/>
      <c r="AH24" s="1549"/>
      <c r="AI24" s="1550"/>
      <c r="AJ24" s="1550"/>
      <c r="AK24" s="1517"/>
      <c r="AL24" s="1517"/>
      <c r="AM24" s="1517"/>
      <c r="AN24" s="1543"/>
      <c r="AU24" s="1546" t="str">
        <f>IF(AE24="","",KW!$J$67)</f>
        <v/>
      </c>
      <c r="AV24" s="1547"/>
      <c r="AW24" s="1548"/>
      <c r="AX24" s="1546" t="str">
        <f>IF($AE24="","",KW!$J$66)</f>
        <v/>
      </c>
      <c r="AY24" s="1547"/>
      <c r="AZ24" s="1548"/>
      <c r="BA24" s="1546" t="str">
        <f>IF($AE24="","",KW!$J$65)</f>
        <v/>
      </c>
      <c r="BB24" s="1547"/>
      <c r="BC24" s="1548"/>
      <c r="BD24" s="1546" t="str">
        <f>IF($AE24="","",KW!$J$69)</f>
        <v/>
      </c>
      <c r="BE24" s="1547"/>
      <c r="BF24" s="1548"/>
      <c r="BG24" s="1546" t="str">
        <f>IF($AE24="","",KW!$J$70)</f>
        <v/>
      </c>
      <c r="BH24" s="1547"/>
      <c r="BI24" s="1548"/>
    </row>
    <row r="25" spans="2:61" ht="12.95" customHeight="1" thickBot="1" x14ac:dyDescent="0.25"/>
    <row r="26" spans="2:61" ht="12.95" customHeight="1" thickBot="1" x14ac:dyDescent="0.25">
      <c r="B26" s="1533" t="s">
        <v>2434</v>
      </c>
      <c r="C26" s="1534"/>
      <c r="D26" s="1534"/>
      <c r="E26" s="1534"/>
      <c r="F26" s="1534"/>
      <c r="G26" s="1534"/>
      <c r="H26" s="1534"/>
      <c r="I26" s="1534"/>
      <c r="J26" s="1534"/>
      <c r="K26" s="1534"/>
      <c r="L26" s="1534"/>
      <c r="M26" s="1534"/>
      <c r="N26" s="1534"/>
      <c r="O26" s="1534"/>
      <c r="P26" s="1534"/>
      <c r="Q26" s="1534"/>
      <c r="R26" s="1534"/>
      <c r="S26" s="1534"/>
      <c r="T26" s="1534"/>
      <c r="U26" s="1534"/>
      <c r="V26" s="1534"/>
      <c r="W26" s="1534"/>
      <c r="X26" s="1534"/>
      <c r="Y26" s="1534"/>
      <c r="Z26" s="1534"/>
      <c r="AA26" s="1534"/>
      <c r="AB26" s="1534"/>
      <c r="AC26" s="1534"/>
      <c r="AD26" s="1534"/>
      <c r="AE26" s="1534"/>
      <c r="AF26" s="1534"/>
      <c r="AG26" s="1535"/>
    </row>
    <row r="27" spans="2:61" ht="12.95" customHeight="1" x14ac:dyDescent="0.2">
      <c r="B27" s="1529" t="s">
        <v>1532</v>
      </c>
      <c r="C27" s="1527"/>
      <c r="D27" s="1527"/>
      <c r="E27" s="1527"/>
      <c r="F27" s="1526" t="s">
        <v>1533</v>
      </c>
      <c r="G27" s="1527"/>
      <c r="H27" s="1527"/>
      <c r="I27" s="1527"/>
      <c r="J27" s="1527"/>
      <c r="K27" s="1527"/>
      <c r="L27" s="1527"/>
      <c r="M27" s="1527"/>
      <c r="N27" s="1527"/>
      <c r="O27" s="1527"/>
      <c r="P27" s="1527"/>
      <c r="Q27" s="1527"/>
      <c r="R27" s="1527"/>
      <c r="S27" s="1527"/>
      <c r="T27" s="1527"/>
      <c r="U27" s="1527"/>
      <c r="V27" s="1527"/>
      <c r="W27" s="1527"/>
      <c r="X27" s="1527"/>
      <c r="Y27" s="1527"/>
      <c r="Z27" s="1527"/>
      <c r="AA27" s="1527"/>
      <c r="AB27" s="1527"/>
      <c r="AC27" s="1528"/>
      <c r="AD27" s="1075"/>
      <c r="AE27" s="1544" t="s">
        <v>3497</v>
      </c>
      <c r="AF27" s="1544"/>
      <c r="AG27" s="1545"/>
    </row>
    <row r="28" spans="2:61" ht="12.95" customHeight="1" x14ac:dyDescent="0.2">
      <c r="B28" s="1519" t="s">
        <v>1724</v>
      </c>
      <c r="C28" s="1459"/>
      <c r="D28" s="1459"/>
      <c r="E28" s="1460"/>
      <c r="F28" s="1458" t="s">
        <v>1723</v>
      </c>
      <c r="G28" s="1459"/>
      <c r="H28" s="1459"/>
      <c r="I28" s="1459"/>
      <c r="J28" s="1459"/>
      <c r="K28" s="1459"/>
      <c r="L28" s="1459"/>
      <c r="M28" s="1459"/>
      <c r="N28" s="1459"/>
      <c r="O28" s="1459"/>
      <c r="P28" s="1459"/>
      <c r="Q28" s="1459"/>
      <c r="R28" s="1459"/>
      <c r="S28" s="1459"/>
      <c r="T28" s="1459"/>
      <c r="U28" s="1459"/>
      <c r="V28" s="1459"/>
      <c r="W28" s="1459"/>
      <c r="X28" s="1459"/>
      <c r="Y28" s="1459"/>
      <c r="Z28" s="1459"/>
      <c r="AA28" s="1459"/>
      <c r="AB28" s="1459"/>
      <c r="AC28" s="1460"/>
      <c r="AD28" s="1223" t="str">
        <f t="shared" ref="AD28:AD33" si="2">B28&amp;" "&amp;F28&amp;" "&amp;R28</f>
        <v xml:space="preserve">11J Metal, Fiberglass Core </v>
      </c>
      <c r="AE28" s="1516">
        <v>0.6</v>
      </c>
      <c r="AF28" s="1516"/>
      <c r="AG28" s="1518"/>
    </row>
    <row r="29" spans="2:61" ht="12.95" customHeight="1" x14ac:dyDescent="0.2">
      <c r="B29" s="1519" t="s">
        <v>1215</v>
      </c>
      <c r="C29" s="1459"/>
      <c r="D29" s="1459"/>
      <c r="E29" s="1460"/>
      <c r="F29" s="1458" t="s">
        <v>1216</v>
      </c>
      <c r="G29" s="1459"/>
      <c r="H29" s="1459"/>
      <c r="I29" s="1459"/>
      <c r="J29" s="1459"/>
      <c r="K29" s="1459"/>
      <c r="L29" s="1459"/>
      <c r="M29" s="1459"/>
      <c r="N29" s="1459"/>
      <c r="O29" s="1459"/>
      <c r="P29" s="1459"/>
      <c r="Q29" s="1459"/>
      <c r="R29" s="1459"/>
      <c r="S29" s="1459"/>
      <c r="T29" s="1459"/>
      <c r="U29" s="1459"/>
      <c r="V29" s="1459"/>
      <c r="W29" s="1459"/>
      <c r="X29" s="1459"/>
      <c r="Y29" s="1459"/>
      <c r="Z29" s="1459"/>
      <c r="AA29" s="1459"/>
      <c r="AB29" s="1459"/>
      <c r="AC29" s="1460"/>
      <c r="AD29" s="1223" t="str">
        <f t="shared" si="2"/>
        <v xml:space="preserve">11S Overhead Door, Wood Panels or Sections </v>
      </c>
      <c r="AE29" s="1516">
        <v>0.78</v>
      </c>
      <c r="AF29" s="1516"/>
      <c r="AG29" s="1518"/>
    </row>
    <row r="30" spans="2:61" ht="12.95" customHeight="1" x14ac:dyDescent="0.2">
      <c r="B30" s="1519"/>
      <c r="C30" s="1459"/>
      <c r="D30" s="1459"/>
      <c r="E30" s="1460"/>
      <c r="F30" s="1458"/>
      <c r="G30" s="1459"/>
      <c r="H30" s="1459"/>
      <c r="I30" s="1459"/>
      <c r="J30" s="1459"/>
      <c r="K30" s="1459"/>
      <c r="L30" s="1459"/>
      <c r="M30" s="1459"/>
      <c r="N30" s="1459"/>
      <c r="O30" s="1459"/>
      <c r="P30" s="1459"/>
      <c r="Q30" s="1459"/>
      <c r="R30" s="1459"/>
      <c r="S30" s="1459"/>
      <c r="T30" s="1459"/>
      <c r="U30" s="1459"/>
      <c r="V30" s="1459"/>
      <c r="W30" s="1459"/>
      <c r="X30" s="1459"/>
      <c r="Y30" s="1459"/>
      <c r="Z30" s="1459"/>
      <c r="AA30" s="1459"/>
      <c r="AB30" s="1459"/>
      <c r="AC30" s="1460"/>
      <c r="AD30" s="1223" t="str">
        <f t="shared" si="2"/>
        <v xml:space="preserve">  </v>
      </c>
      <c r="AE30" s="1516"/>
      <c r="AF30" s="1516"/>
      <c r="AG30" s="1518"/>
    </row>
    <row r="31" spans="2:61" ht="12.95" customHeight="1" x14ac:dyDescent="0.2">
      <c r="B31" s="1519"/>
      <c r="C31" s="1459"/>
      <c r="D31" s="1459"/>
      <c r="E31" s="1460"/>
      <c r="F31" s="1458"/>
      <c r="G31" s="1459"/>
      <c r="H31" s="1459"/>
      <c r="I31" s="1459"/>
      <c r="J31" s="1459"/>
      <c r="K31" s="1459"/>
      <c r="L31" s="1459"/>
      <c r="M31" s="1459"/>
      <c r="N31" s="1459"/>
      <c r="O31" s="1459"/>
      <c r="P31" s="1459"/>
      <c r="Q31" s="1459"/>
      <c r="R31" s="1459"/>
      <c r="S31" s="1459"/>
      <c r="T31" s="1459"/>
      <c r="U31" s="1459"/>
      <c r="V31" s="1459"/>
      <c r="W31" s="1459"/>
      <c r="X31" s="1459"/>
      <c r="Y31" s="1459"/>
      <c r="Z31" s="1459"/>
      <c r="AA31" s="1459"/>
      <c r="AB31" s="1459"/>
      <c r="AC31" s="1460"/>
      <c r="AD31" s="1223" t="str">
        <f t="shared" si="2"/>
        <v xml:space="preserve">  </v>
      </c>
      <c r="AE31" s="1516"/>
      <c r="AF31" s="1516"/>
      <c r="AG31" s="1518"/>
    </row>
    <row r="32" spans="2:61" ht="12.95" customHeight="1" x14ac:dyDescent="0.2">
      <c r="B32" s="1519"/>
      <c r="C32" s="1459"/>
      <c r="D32" s="1459"/>
      <c r="E32" s="1460"/>
      <c r="F32" s="1458"/>
      <c r="G32" s="1459"/>
      <c r="H32" s="1459"/>
      <c r="I32" s="1459"/>
      <c r="J32" s="1459"/>
      <c r="K32" s="1459"/>
      <c r="L32" s="1459"/>
      <c r="M32" s="1459"/>
      <c r="N32" s="1459"/>
      <c r="O32" s="1459"/>
      <c r="P32" s="1459"/>
      <c r="Q32" s="1459"/>
      <c r="R32" s="1459"/>
      <c r="S32" s="1459"/>
      <c r="T32" s="1459"/>
      <c r="U32" s="1459"/>
      <c r="V32" s="1459"/>
      <c r="W32" s="1459"/>
      <c r="X32" s="1459"/>
      <c r="Y32" s="1459"/>
      <c r="Z32" s="1459"/>
      <c r="AA32" s="1459"/>
      <c r="AB32" s="1459"/>
      <c r="AC32" s="1460"/>
      <c r="AD32" s="1223" t="str">
        <f t="shared" si="2"/>
        <v xml:space="preserve">  </v>
      </c>
      <c r="AE32" s="1516"/>
      <c r="AF32" s="1516"/>
      <c r="AG32" s="1518"/>
    </row>
    <row r="33" spans="2:43" ht="12.95" customHeight="1" thickBot="1" x14ac:dyDescent="0.25">
      <c r="B33" s="1530"/>
      <c r="C33" s="1531"/>
      <c r="D33" s="1531"/>
      <c r="E33" s="1532"/>
      <c r="F33" s="1540"/>
      <c r="G33" s="1531"/>
      <c r="H33" s="1531"/>
      <c r="I33" s="1531"/>
      <c r="J33" s="1531"/>
      <c r="K33" s="1531"/>
      <c r="L33" s="1531"/>
      <c r="M33" s="1531"/>
      <c r="N33" s="1531"/>
      <c r="O33" s="1531"/>
      <c r="P33" s="1531"/>
      <c r="Q33" s="1531"/>
      <c r="R33" s="1531"/>
      <c r="S33" s="1531"/>
      <c r="T33" s="1531"/>
      <c r="U33" s="1531"/>
      <c r="V33" s="1531"/>
      <c r="W33" s="1531"/>
      <c r="X33" s="1531"/>
      <c r="Y33" s="1531"/>
      <c r="Z33" s="1531"/>
      <c r="AA33" s="1531"/>
      <c r="AB33" s="1531"/>
      <c r="AC33" s="1532"/>
      <c r="AD33" s="1224" t="str">
        <f t="shared" si="2"/>
        <v xml:space="preserve">  </v>
      </c>
      <c r="AE33" s="1517"/>
      <c r="AF33" s="1517"/>
      <c r="AG33" s="1543"/>
    </row>
    <row r="34" spans="2:43" ht="12.95" customHeight="1" thickBot="1" x14ac:dyDescent="0.25"/>
    <row r="35" spans="2:43" ht="12.95" customHeight="1" thickBot="1" x14ac:dyDescent="0.25">
      <c r="B35" s="1533" t="s">
        <v>2435</v>
      </c>
      <c r="C35" s="1534"/>
      <c r="D35" s="1534"/>
      <c r="E35" s="1534"/>
      <c r="F35" s="1534"/>
      <c r="G35" s="1534"/>
      <c r="H35" s="1534"/>
      <c r="I35" s="1534"/>
      <c r="J35" s="1534"/>
      <c r="K35" s="1534"/>
      <c r="L35" s="1534"/>
      <c r="M35" s="1534"/>
      <c r="N35" s="1534"/>
      <c r="O35" s="1534"/>
      <c r="P35" s="1534"/>
      <c r="Q35" s="1534"/>
      <c r="R35" s="1534"/>
      <c r="S35" s="1534"/>
      <c r="T35" s="1534"/>
      <c r="U35" s="1534"/>
      <c r="V35" s="1534"/>
      <c r="W35" s="1534"/>
      <c r="X35" s="1534"/>
      <c r="Y35" s="1534"/>
      <c r="Z35" s="1534"/>
      <c r="AA35" s="1534"/>
      <c r="AB35" s="1534"/>
      <c r="AC35" s="1534"/>
      <c r="AD35" s="1534"/>
      <c r="AE35" s="1534"/>
      <c r="AF35" s="1534"/>
      <c r="AG35" s="1534"/>
      <c r="AH35" s="1534"/>
      <c r="AI35" s="1534"/>
      <c r="AJ35" s="1535"/>
    </row>
    <row r="36" spans="2:43" ht="12.95" customHeight="1" x14ac:dyDescent="0.2">
      <c r="B36" s="1529" t="s">
        <v>1532</v>
      </c>
      <c r="C36" s="1527"/>
      <c r="D36" s="1527"/>
      <c r="E36" s="1527"/>
      <c r="F36" s="1526" t="s">
        <v>1533</v>
      </c>
      <c r="G36" s="1527"/>
      <c r="H36" s="1527"/>
      <c r="I36" s="1527"/>
      <c r="J36" s="1527"/>
      <c r="K36" s="1527"/>
      <c r="L36" s="1527"/>
      <c r="M36" s="1527"/>
      <c r="N36" s="1527"/>
      <c r="O36" s="1527"/>
      <c r="P36" s="1527"/>
      <c r="Q36" s="1527"/>
      <c r="R36" s="1527"/>
      <c r="S36" s="1527"/>
      <c r="T36" s="1527"/>
      <c r="U36" s="1527"/>
      <c r="V36" s="1527"/>
      <c r="W36" s="1527"/>
      <c r="X36" s="1527"/>
      <c r="Y36" s="1527"/>
      <c r="Z36" s="1527"/>
      <c r="AA36" s="1527"/>
      <c r="AB36" s="1527"/>
      <c r="AC36" s="1528"/>
      <c r="AD36" s="1075"/>
      <c r="AE36" s="1523" t="s">
        <v>3497</v>
      </c>
      <c r="AF36" s="1524"/>
      <c r="AG36" s="1525"/>
      <c r="AH36" s="1523" t="s">
        <v>2838</v>
      </c>
      <c r="AI36" s="1524"/>
      <c r="AJ36" s="1542"/>
      <c r="AO36" s="1541" t="s">
        <v>2505</v>
      </c>
      <c r="AP36" s="1541"/>
    </row>
    <row r="37" spans="2:43" ht="12.95" customHeight="1" x14ac:dyDescent="0.2">
      <c r="B37" s="1519" t="s">
        <v>3768</v>
      </c>
      <c r="C37" s="1459"/>
      <c r="D37" s="1459"/>
      <c r="E37" s="1460"/>
      <c r="F37" s="1458" t="s">
        <v>2506</v>
      </c>
      <c r="G37" s="1459"/>
      <c r="H37" s="1459"/>
      <c r="I37" s="1459"/>
      <c r="J37" s="1459"/>
      <c r="K37" s="1459"/>
      <c r="L37" s="1459"/>
      <c r="M37" s="1459"/>
      <c r="N37" s="1459"/>
      <c r="O37" s="1459"/>
      <c r="P37" s="1459"/>
      <c r="Q37" s="1459"/>
      <c r="R37" s="1459"/>
      <c r="S37" s="1459"/>
      <c r="T37" s="1459"/>
      <c r="U37" s="1459"/>
      <c r="V37" s="1459"/>
      <c r="W37" s="1459"/>
      <c r="X37" s="1459"/>
      <c r="Y37" s="1459"/>
      <c r="Z37" s="1459"/>
      <c r="AA37" s="1459"/>
      <c r="AB37" s="1459"/>
      <c r="AC37" s="1460"/>
      <c r="AD37" s="1223" t="str">
        <f>B37&amp;" "&amp;F37</f>
        <v>14F11-0-m 4 inch concrete wall, Metal studs, R-11 cavity</v>
      </c>
      <c r="AE37" s="1520">
        <v>0.14799999999999999</v>
      </c>
      <c r="AF37" s="1521"/>
      <c r="AG37" s="1522"/>
      <c r="AH37" s="1520" t="s">
        <v>831</v>
      </c>
      <c r="AI37" s="1521"/>
      <c r="AJ37" s="1536"/>
      <c r="AO37" s="1567" t="str">
        <f>AH37&amp;KW!$B$152</f>
        <v>H12</v>
      </c>
      <c r="AP37" s="1567"/>
      <c r="AQ37" s="1016" t="str">
        <f t="shared" ref="AQ37:AQ45" si="3">LEFT(B37,2)</f>
        <v>14</v>
      </c>
    </row>
    <row r="38" spans="2:43" ht="12.95" customHeight="1" x14ac:dyDescent="0.2">
      <c r="B38" s="1519" t="s">
        <v>3769</v>
      </c>
      <c r="C38" s="1459"/>
      <c r="D38" s="1459"/>
      <c r="E38" s="1460"/>
      <c r="F38" s="1458" t="s">
        <v>2404</v>
      </c>
      <c r="G38" s="1459"/>
      <c r="H38" s="1459"/>
      <c r="I38" s="1459"/>
      <c r="J38" s="1459"/>
      <c r="K38" s="1459"/>
      <c r="L38" s="1459"/>
      <c r="M38" s="1459"/>
      <c r="N38" s="1459"/>
      <c r="O38" s="1459"/>
      <c r="P38" s="1459"/>
      <c r="Q38" s="1459"/>
      <c r="R38" s="1459"/>
      <c r="S38" s="1459"/>
      <c r="T38" s="1459"/>
      <c r="U38" s="1459"/>
      <c r="V38" s="1459"/>
      <c r="W38" s="1459"/>
      <c r="X38" s="1459"/>
      <c r="Y38" s="1459"/>
      <c r="Z38" s="1459"/>
      <c r="AA38" s="1459"/>
      <c r="AB38" s="1459"/>
      <c r="AC38" s="1460"/>
      <c r="AD38" s="1223" t="str">
        <f t="shared" ref="AD38:AD45" si="4">B38&amp;" "&amp;F38</f>
        <v>12B-0s-m Frame wall, Metal studs, R-11 cavity, wood sheathing, siding</v>
      </c>
      <c r="AE38" s="1520">
        <v>0.122</v>
      </c>
      <c r="AF38" s="1521"/>
      <c r="AG38" s="1522"/>
      <c r="AH38" s="1520" t="s">
        <v>832</v>
      </c>
      <c r="AI38" s="1521"/>
      <c r="AJ38" s="1536"/>
      <c r="AO38" s="1567" t="str">
        <f>AH38&amp;KW!$B$152</f>
        <v>B12</v>
      </c>
      <c r="AP38" s="1567"/>
      <c r="AQ38" s="1016" t="str">
        <f t="shared" si="3"/>
        <v>12</v>
      </c>
    </row>
    <row r="39" spans="2:43" ht="12.95" customHeight="1" x14ac:dyDescent="0.2">
      <c r="B39" s="1519" t="s">
        <v>1725</v>
      </c>
      <c r="C39" s="1459"/>
      <c r="D39" s="1459"/>
      <c r="E39" s="1460"/>
      <c r="F39" s="1458" t="s">
        <v>3991</v>
      </c>
      <c r="G39" s="1459"/>
      <c r="H39" s="1459"/>
      <c r="I39" s="1459"/>
      <c r="J39" s="1459"/>
      <c r="K39" s="1459"/>
      <c r="L39" s="1459"/>
      <c r="M39" s="1459"/>
      <c r="N39" s="1459"/>
      <c r="O39" s="1459"/>
      <c r="P39" s="1459"/>
      <c r="Q39" s="1459"/>
      <c r="R39" s="1459"/>
      <c r="S39" s="1459"/>
      <c r="T39" s="1459"/>
      <c r="U39" s="1459"/>
      <c r="V39" s="1459"/>
      <c r="W39" s="1459"/>
      <c r="X39" s="1459"/>
      <c r="Y39" s="1459"/>
      <c r="Z39" s="1459"/>
      <c r="AA39" s="1459"/>
      <c r="AB39" s="1459"/>
      <c r="AC39" s="1460"/>
      <c r="AD39" s="1223" t="str">
        <f t="shared" si="4"/>
        <v>13CB-0fc Block, Framing w/ R-13 cavity, drywall</v>
      </c>
      <c r="AE39" s="1520">
        <v>7.2999999999999995E-2</v>
      </c>
      <c r="AF39" s="1521"/>
      <c r="AG39" s="1522"/>
      <c r="AH39" s="1520" t="s">
        <v>3992</v>
      </c>
      <c r="AI39" s="1521"/>
      <c r="AJ39" s="1536"/>
      <c r="AO39" s="1567" t="str">
        <f>AH39&amp;KW!$B$152</f>
        <v>I12</v>
      </c>
      <c r="AP39" s="1567"/>
      <c r="AQ39" s="1016" t="str">
        <f t="shared" si="3"/>
        <v>13</v>
      </c>
    </row>
    <row r="40" spans="2:43" ht="12.95" customHeight="1" x14ac:dyDescent="0.2">
      <c r="B40" s="1519" t="s">
        <v>1217</v>
      </c>
      <c r="C40" s="1459"/>
      <c r="D40" s="1459"/>
      <c r="E40" s="1460"/>
      <c r="F40" s="1458" t="s">
        <v>1218</v>
      </c>
      <c r="G40" s="1459"/>
      <c r="H40" s="1459"/>
      <c r="I40" s="1459"/>
      <c r="J40" s="1459"/>
      <c r="K40" s="1459"/>
      <c r="L40" s="1459"/>
      <c r="M40" s="1459"/>
      <c r="N40" s="1459"/>
      <c r="O40" s="1459"/>
      <c r="P40" s="1459"/>
      <c r="Q40" s="1459"/>
      <c r="R40" s="1459"/>
      <c r="S40" s="1459"/>
      <c r="T40" s="1459"/>
      <c r="U40" s="1459"/>
      <c r="V40" s="1459"/>
      <c r="W40" s="1459"/>
      <c r="X40" s="1459"/>
      <c r="Y40" s="1459"/>
      <c r="Z40" s="1459"/>
      <c r="AA40" s="1459"/>
      <c r="AB40" s="1459"/>
      <c r="AC40" s="1460"/>
      <c r="AD40" s="1223" t="str">
        <f t="shared" si="4"/>
        <v>13A-5oc-b Block, brick exterior finish, R-5 insulation, open core, plus interior finish</v>
      </c>
      <c r="AE40" s="1520">
        <v>0.129</v>
      </c>
      <c r="AF40" s="1521"/>
      <c r="AG40" s="1522"/>
      <c r="AH40" s="1520" t="s">
        <v>3060</v>
      </c>
      <c r="AI40" s="1521"/>
      <c r="AJ40" s="1536"/>
      <c r="AO40" s="1567" t="str">
        <f>AH40&amp;KW!$B$152</f>
        <v>F12</v>
      </c>
      <c r="AP40" s="1567"/>
      <c r="AQ40" s="1016" t="str">
        <f t="shared" si="3"/>
        <v>13</v>
      </c>
    </row>
    <row r="41" spans="2:43" ht="12.95" customHeight="1" x14ac:dyDescent="0.2">
      <c r="B41" s="1519" t="s">
        <v>3061</v>
      </c>
      <c r="C41" s="1459"/>
      <c r="D41" s="1459"/>
      <c r="E41" s="1460"/>
      <c r="F41" s="1458" t="s">
        <v>1219</v>
      </c>
      <c r="G41" s="1459"/>
      <c r="H41" s="1459"/>
      <c r="I41" s="1459"/>
      <c r="J41" s="1459"/>
      <c r="K41" s="1459"/>
      <c r="L41" s="1459"/>
      <c r="M41" s="1459"/>
      <c r="N41" s="1459"/>
      <c r="O41" s="1459"/>
      <c r="P41" s="1459"/>
      <c r="Q41" s="1459"/>
      <c r="R41" s="1459"/>
      <c r="S41" s="1459"/>
      <c r="T41" s="1459"/>
      <c r="U41" s="1459"/>
      <c r="V41" s="1459"/>
      <c r="W41" s="1459"/>
      <c r="X41" s="1459"/>
      <c r="Y41" s="1459"/>
      <c r="Z41" s="1459"/>
      <c r="AA41" s="1459"/>
      <c r="AB41" s="1459"/>
      <c r="AC41" s="1460"/>
      <c r="AD41" s="1223" t="str">
        <f t="shared" si="4"/>
        <v>13AA-0occ Block, no exterior or interior finish, core filled</v>
      </c>
      <c r="AE41" s="1520">
        <v>0.30399999999999999</v>
      </c>
      <c r="AF41" s="1521"/>
      <c r="AG41" s="1522"/>
      <c r="AH41" s="1520" t="s">
        <v>254</v>
      </c>
      <c r="AI41" s="1521"/>
      <c r="AJ41" s="1536"/>
      <c r="AO41" s="1567" t="str">
        <f>AH41&amp;KW!$B$152</f>
        <v>E12</v>
      </c>
      <c r="AP41" s="1567"/>
      <c r="AQ41" s="1016" t="str">
        <f t="shared" si="3"/>
        <v>13</v>
      </c>
    </row>
    <row r="42" spans="2:43" ht="12.95" customHeight="1" x14ac:dyDescent="0.2">
      <c r="B42" s="1519" t="s">
        <v>1220</v>
      </c>
      <c r="C42" s="1459"/>
      <c r="D42" s="1459"/>
      <c r="E42" s="1460"/>
      <c r="F42" s="1458" t="s">
        <v>2404</v>
      </c>
      <c r="G42" s="1459"/>
      <c r="H42" s="1459"/>
      <c r="I42" s="1459"/>
      <c r="J42" s="1459"/>
      <c r="K42" s="1459"/>
      <c r="L42" s="1459"/>
      <c r="M42" s="1459"/>
      <c r="N42" s="1459"/>
      <c r="O42" s="1459"/>
      <c r="P42" s="1459"/>
      <c r="Q42" s="1459"/>
      <c r="R42" s="1459"/>
      <c r="S42" s="1459"/>
      <c r="T42" s="1459"/>
      <c r="U42" s="1459"/>
      <c r="V42" s="1459"/>
      <c r="W42" s="1459"/>
      <c r="X42" s="1459"/>
      <c r="Y42" s="1459"/>
      <c r="Z42" s="1459"/>
      <c r="AA42" s="1459"/>
      <c r="AB42" s="1459"/>
      <c r="AC42" s="1460"/>
      <c r="AD42" s="1223" t="str">
        <f t="shared" si="4"/>
        <v>12E-Osm Frame wall, Metal studs, R-11 cavity, wood sheathing, siding</v>
      </c>
      <c r="AE42" s="1520">
        <v>0.10299999999999999</v>
      </c>
      <c r="AF42" s="1521"/>
      <c r="AG42" s="1522"/>
      <c r="AH42" s="1520" t="s">
        <v>254</v>
      </c>
      <c r="AI42" s="1521"/>
      <c r="AJ42" s="1536"/>
      <c r="AO42" s="1567" t="str">
        <f>AH42&amp;KW!$B$152</f>
        <v>E12</v>
      </c>
      <c r="AP42" s="1567"/>
      <c r="AQ42" s="1016" t="str">
        <f t="shared" si="3"/>
        <v>12</v>
      </c>
    </row>
    <row r="43" spans="2:43" ht="12.95" customHeight="1" x14ac:dyDescent="0.2">
      <c r="B43" s="1519"/>
      <c r="C43" s="1459"/>
      <c r="D43" s="1459"/>
      <c r="E43" s="1460"/>
      <c r="F43" s="1458"/>
      <c r="G43" s="1459"/>
      <c r="H43" s="1459"/>
      <c r="I43" s="1459"/>
      <c r="J43" s="1459"/>
      <c r="K43" s="1459"/>
      <c r="L43" s="1459"/>
      <c r="M43" s="1459"/>
      <c r="N43" s="1459"/>
      <c r="O43" s="1459"/>
      <c r="P43" s="1459"/>
      <c r="Q43" s="1459"/>
      <c r="R43" s="1459"/>
      <c r="S43" s="1459"/>
      <c r="T43" s="1459"/>
      <c r="U43" s="1459"/>
      <c r="V43" s="1459"/>
      <c r="W43" s="1459"/>
      <c r="X43" s="1459"/>
      <c r="Y43" s="1459"/>
      <c r="Z43" s="1459"/>
      <c r="AA43" s="1459"/>
      <c r="AB43" s="1459"/>
      <c r="AC43" s="1460"/>
      <c r="AD43" s="1223" t="str">
        <f t="shared" si="4"/>
        <v xml:space="preserve"> </v>
      </c>
      <c r="AE43" s="1520"/>
      <c r="AF43" s="1521"/>
      <c r="AG43" s="1522"/>
      <c r="AH43" s="1520"/>
      <c r="AI43" s="1521"/>
      <c r="AJ43" s="1536"/>
      <c r="AO43" s="1567" t="str">
        <f>AH43&amp;KW!$B$152</f>
        <v>12</v>
      </c>
      <c r="AP43" s="1567"/>
      <c r="AQ43" s="1016" t="str">
        <f t="shared" si="3"/>
        <v/>
      </c>
    </row>
    <row r="44" spans="2:43" ht="12.95" customHeight="1" x14ac:dyDescent="0.2">
      <c r="B44" s="1519"/>
      <c r="C44" s="1459"/>
      <c r="D44" s="1459"/>
      <c r="E44" s="1460"/>
      <c r="F44" s="1458"/>
      <c r="G44" s="1459"/>
      <c r="H44" s="1459"/>
      <c r="I44" s="1459"/>
      <c r="J44" s="1459"/>
      <c r="K44" s="1459"/>
      <c r="L44" s="1459"/>
      <c r="M44" s="1459"/>
      <c r="N44" s="1459"/>
      <c r="O44" s="1459"/>
      <c r="P44" s="1459"/>
      <c r="Q44" s="1459"/>
      <c r="R44" s="1459"/>
      <c r="S44" s="1459"/>
      <c r="T44" s="1459"/>
      <c r="U44" s="1459"/>
      <c r="V44" s="1459"/>
      <c r="W44" s="1459"/>
      <c r="X44" s="1459"/>
      <c r="Y44" s="1459"/>
      <c r="Z44" s="1459"/>
      <c r="AA44" s="1459"/>
      <c r="AB44" s="1459"/>
      <c r="AC44" s="1460"/>
      <c r="AD44" s="1223" t="str">
        <f t="shared" si="4"/>
        <v xml:space="preserve"> </v>
      </c>
      <c r="AE44" s="1520"/>
      <c r="AF44" s="1521"/>
      <c r="AG44" s="1522"/>
      <c r="AH44" s="1520"/>
      <c r="AI44" s="1521"/>
      <c r="AJ44" s="1536"/>
      <c r="AO44" s="1567" t="str">
        <f>AH44&amp;KW!$B$152</f>
        <v>12</v>
      </c>
      <c r="AP44" s="1567"/>
      <c r="AQ44" s="1016" t="str">
        <f t="shared" si="3"/>
        <v/>
      </c>
    </row>
    <row r="45" spans="2:43" ht="12.95" customHeight="1" thickBot="1" x14ac:dyDescent="0.25">
      <c r="B45" s="1530"/>
      <c r="C45" s="1531"/>
      <c r="D45" s="1531"/>
      <c r="E45" s="1532"/>
      <c r="F45" s="1540"/>
      <c r="G45" s="1531"/>
      <c r="H45" s="1531"/>
      <c r="I45" s="1531"/>
      <c r="J45" s="1531"/>
      <c r="K45" s="1531"/>
      <c r="L45" s="1531"/>
      <c r="M45" s="1531"/>
      <c r="N45" s="1531"/>
      <c r="O45" s="1531"/>
      <c r="P45" s="1531"/>
      <c r="Q45" s="1531"/>
      <c r="R45" s="1531"/>
      <c r="S45" s="1531"/>
      <c r="T45" s="1531"/>
      <c r="U45" s="1531"/>
      <c r="V45" s="1531"/>
      <c r="W45" s="1531"/>
      <c r="X45" s="1531"/>
      <c r="Y45" s="1531"/>
      <c r="Z45" s="1531"/>
      <c r="AA45" s="1531"/>
      <c r="AB45" s="1531"/>
      <c r="AC45" s="1532"/>
      <c r="AD45" s="1224" t="str">
        <f t="shared" si="4"/>
        <v xml:space="preserve"> </v>
      </c>
      <c r="AE45" s="1564"/>
      <c r="AF45" s="1565"/>
      <c r="AG45" s="1566"/>
      <c r="AH45" s="1564"/>
      <c r="AI45" s="1565"/>
      <c r="AJ45" s="1568"/>
      <c r="AO45" s="1567" t="str">
        <f>AH45&amp;KW!$B$152</f>
        <v>12</v>
      </c>
      <c r="AP45" s="1567"/>
      <c r="AQ45" s="1016" t="str">
        <f t="shared" si="3"/>
        <v/>
      </c>
    </row>
    <row r="46" spans="2:43" ht="12.95" customHeight="1" thickBot="1" x14ac:dyDescent="0.25"/>
    <row r="47" spans="2:43" ht="12.95" customHeight="1" thickBot="1" x14ac:dyDescent="0.25">
      <c r="B47" s="1533" t="s">
        <v>2436</v>
      </c>
      <c r="C47" s="1534"/>
      <c r="D47" s="1534"/>
      <c r="E47" s="1534"/>
      <c r="F47" s="1534"/>
      <c r="G47" s="1534"/>
      <c r="H47" s="1534"/>
      <c r="I47" s="1534"/>
      <c r="J47" s="1534"/>
      <c r="K47" s="1534"/>
      <c r="L47" s="1534"/>
      <c r="M47" s="1534"/>
      <c r="N47" s="1534"/>
      <c r="O47" s="1534"/>
      <c r="P47" s="1534"/>
      <c r="Q47" s="1534"/>
      <c r="R47" s="1534"/>
      <c r="S47" s="1534"/>
      <c r="T47" s="1534"/>
      <c r="U47" s="1534"/>
      <c r="V47" s="1534"/>
      <c r="W47" s="1534"/>
      <c r="X47" s="1534"/>
      <c r="Y47" s="1534"/>
      <c r="Z47" s="1534"/>
      <c r="AA47" s="1534"/>
      <c r="AB47" s="1534"/>
      <c r="AC47" s="1534"/>
      <c r="AD47" s="1534"/>
      <c r="AE47" s="1534"/>
      <c r="AF47" s="1534"/>
      <c r="AG47" s="1534"/>
      <c r="AH47" s="1534"/>
      <c r="AI47" s="1534"/>
      <c r="AJ47" s="1535"/>
    </row>
    <row r="48" spans="2:43" ht="12.95" customHeight="1" x14ac:dyDescent="0.2">
      <c r="B48" s="1529" t="s">
        <v>1532</v>
      </c>
      <c r="C48" s="1527"/>
      <c r="D48" s="1527"/>
      <c r="E48" s="1527"/>
      <c r="F48" s="1526" t="s">
        <v>1533</v>
      </c>
      <c r="G48" s="1527"/>
      <c r="H48" s="1527"/>
      <c r="I48" s="1527"/>
      <c r="J48" s="1527"/>
      <c r="K48" s="1527"/>
      <c r="L48" s="1527"/>
      <c r="M48" s="1527"/>
      <c r="N48" s="1527"/>
      <c r="O48" s="1527"/>
      <c r="P48" s="1527"/>
      <c r="Q48" s="1527"/>
      <c r="R48" s="1527"/>
      <c r="S48" s="1527"/>
      <c r="T48" s="1527"/>
      <c r="U48" s="1527"/>
      <c r="V48" s="1527"/>
      <c r="W48" s="1527"/>
      <c r="X48" s="1527"/>
      <c r="Y48" s="1527"/>
      <c r="Z48" s="1527"/>
      <c r="AA48" s="1527"/>
      <c r="AB48" s="1527"/>
      <c r="AC48" s="1528"/>
      <c r="AD48" s="1075"/>
      <c r="AE48" s="1523" t="s">
        <v>3497</v>
      </c>
      <c r="AF48" s="1524"/>
      <c r="AG48" s="1525"/>
      <c r="AH48" s="1523" t="s">
        <v>2838</v>
      </c>
      <c r="AI48" s="1524"/>
      <c r="AJ48" s="1542"/>
      <c r="AO48" s="1541" t="s">
        <v>2505</v>
      </c>
      <c r="AP48" s="1541"/>
    </row>
    <row r="49" spans="2:43" ht="12.95" customHeight="1" x14ac:dyDescent="0.2">
      <c r="B49" s="1537" t="s">
        <v>1221</v>
      </c>
      <c r="C49" s="1538"/>
      <c r="D49" s="1538"/>
      <c r="E49" s="1539"/>
      <c r="F49" s="1458" t="s">
        <v>1222</v>
      </c>
      <c r="G49" s="1459"/>
      <c r="H49" s="1459"/>
      <c r="I49" s="1459"/>
      <c r="J49" s="1459"/>
      <c r="K49" s="1459"/>
      <c r="L49" s="1459"/>
      <c r="M49" s="1459"/>
      <c r="N49" s="1459"/>
      <c r="O49" s="1459"/>
      <c r="P49" s="1459"/>
      <c r="Q49" s="1459"/>
      <c r="R49" s="1459"/>
      <c r="S49" s="1459"/>
      <c r="T49" s="1459"/>
      <c r="U49" s="1459"/>
      <c r="V49" s="1459"/>
      <c r="W49" s="1459"/>
      <c r="X49" s="1459"/>
      <c r="Y49" s="1459"/>
      <c r="Z49" s="1459"/>
      <c r="AA49" s="1459"/>
      <c r="AB49" s="1459"/>
      <c r="AC49" s="1460"/>
      <c r="AD49" s="1223" t="str">
        <f>B49&amp;" "&amp;F49</f>
        <v>17B-15m-19 Metal deck plus R-15 board, R19 Suspended Ceiling</v>
      </c>
      <c r="AE49" s="1520">
        <v>2.7E-2</v>
      </c>
      <c r="AF49" s="1521"/>
      <c r="AG49" s="1522"/>
      <c r="AH49" s="1520" t="s">
        <v>2723</v>
      </c>
      <c r="AI49" s="1521"/>
      <c r="AJ49" s="1536"/>
      <c r="AO49" s="1569" t="str">
        <f>AH49</f>
        <v>RC13</v>
      </c>
      <c r="AP49" s="1567"/>
      <c r="AQ49" s="1076" t="str">
        <f>LEFT(B49,2)</f>
        <v>17</v>
      </c>
    </row>
    <row r="50" spans="2:43" ht="12.95" customHeight="1" x14ac:dyDescent="0.2">
      <c r="B50" s="1537" t="s">
        <v>3993</v>
      </c>
      <c r="C50" s="1538"/>
      <c r="D50" s="1538"/>
      <c r="E50" s="1539"/>
      <c r="F50" s="1458" t="s">
        <v>3994</v>
      </c>
      <c r="G50" s="1459"/>
      <c r="H50" s="1459"/>
      <c r="I50" s="1459"/>
      <c r="J50" s="1459"/>
      <c r="K50" s="1459"/>
      <c r="L50" s="1459"/>
      <c r="M50" s="1459"/>
      <c r="N50" s="1459"/>
      <c r="O50" s="1459"/>
      <c r="P50" s="1459"/>
      <c r="Q50" s="1459"/>
      <c r="R50" s="1459"/>
      <c r="S50" s="1459"/>
      <c r="T50" s="1459"/>
      <c r="U50" s="1459"/>
      <c r="V50" s="1459"/>
      <c r="W50" s="1459"/>
      <c r="X50" s="1459"/>
      <c r="Y50" s="1459"/>
      <c r="Z50" s="1459"/>
      <c r="AA50" s="1459"/>
      <c r="AB50" s="1459"/>
      <c r="AC50" s="1460"/>
      <c r="AD50" s="1223" t="str">
        <f t="shared" ref="AD50:AD57" si="5">B50&amp;" "&amp;F50</f>
        <v>17B-10w R-13 roof decking, dead air space, R-19 ceiling</v>
      </c>
      <c r="AE50" s="1520">
        <v>2.1999999999999999E-2</v>
      </c>
      <c r="AF50" s="1521"/>
      <c r="AG50" s="1522"/>
      <c r="AH50" s="1520" t="s">
        <v>2717</v>
      </c>
      <c r="AI50" s="1521"/>
      <c r="AJ50" s="1536"/>
      <c r="AO50" s="1569" t="str">
        <f t="shared" ref="AO50:AO57" si="6">AH50</f>
        <v>RC6</v>
      </c>
      <c r="AP50" s="1567"/>
      <c r="AQ50" s="1016" t="str">
        <f t="shared" ref="AQ50:AQ57" si="7">LEFT(B50,2)</f>
        <v>17</v>
      </c>
    </row>
    <row r="51" spans="2:43" ht="12.95" customHeight="1" x14ac:dyDescent="0.2">
      <c r="B51" s="1537" t="s">
        <v>2882</v>
      </c>
      <c r="C51" s="1538"/>
      <c r="D51" s="1538"/>
      <c r="E51" s="1539"/>
      <c r="F51" s="1458" t="s">
        <v>2883</v>
      </c>
      <c r="G51" s="1459"/>
      <c r="H51" s="1459"/>
      <c r="I51" s="1459"/>
      <c r="J51" s="1459"/>
      <c r="K51" s="1459"/>
      <c r="L51" s="1459"/>
      <c r="M51" s="1459"/>
      <c r="N51" s="1459"/>
      <c r="O51" s="1459"/>
      <c r="P51" s="1459"/>
      <c r="Q51" s="1459"/>
      <c r="R51" s="1459"/>
      <c r="S51" s="1459"/>
      <c r="T51" s="1459"/>
      <c r="U51" s="1459"/>
      <c r="V51" s="1459"/>
      <c r="W51" s="1459"/>
      <c r="X51" s="1459"/>
      <c r="Y51" s="1459"/>
      <c r="Z51" s="1459"/>
      <c r="AA51" s="1459"/>
      <c r="AB51" s="1459"/>
      <c r="AC51" s="1460"/>
      <c r="AD51" s="1223" t="str">
        <f t="shared" si="5"/>
        <v>17A -10pc Concrete deck  four inches thick r-12  board</v>
      </c>
      <c r="AE51" s="1520">
        <v>7.8E-2</v>
      </c>
      <c r="AF51" s="1521"/>
      <c r="AG51" s="1522"/>
      <c r="AH51" s="1520" t="s">
        <v>2722</v>
      </c>
      <c r="AI51" s="1521"/>
      <c r="AJ51" s="1536"/>
      <c r="AO51" s="1569" t="str">
        <f t="shared" si="6"/>
        <v>RC12</v>
      </c>
      <c r="AP51" s="1567"/>
      <c r="AQ51" s="1016" t="str">
        <f t="shared" si="7"/>
        <v>17</v>
      </c>
    </row>
    <row r="52" spans="2:43" ht="12.95" customHeight="1" x14ac:dyDescent="0.2">
      <c r="B52" s="1537" t="s">
        <v>3114</v>
      </c>
      <c r="C52" s="1538"/>
      <c r="D52" s="1538"/>
      <c r="E52" s="1539"/>
      <c r="F52" s="1458" t="s">
        <v>3115</v>
      </c>
      <c r="G52" s="1459"/>
      <c r="H52" s="1459"/>
      <c r="I52" s="1459"/>
      <c r="J52" s="1459"/>
      <c r="K52" s="1459"/>
      <c r="L52" s="1459"/>
      <c r="M52" s="1459"/>
      <c r="N52" s="1459"/>
      <c r="O52" s="1459"/>
      <c r="P52" s="1459"/>
      <c r="Q52" s="1459"/>
      <c r="R52" s="1459"/>
      <c r="S52" s="1459"/>
      <c r="T52" s="1459"/>
      <c r="U52" s="1459"/>
      <c r="V52" s="1459"/>
      <c r="W52" s="1459"/>
      <c r="X52" s="1459"/>
      <c r="Y52" s="1459"/>
      <c r="Z52" s="1459"/>
      <c r="AA52" s="1459"/>
      <c r="AB52" s="1459"/>
      <c r="AC52" s="1460"/>
      <c r="AD52" s="1223" t="str">
        <f t="shared" si="5"/>
        <v>17B-10c-4lw Concrete deck, 4 inch light weight, R10 board</v>
      </c>
      <c r="AE52" s="1520">
        <v>6.3E-2</v>
      </c>
      <c r="AF52" s="1521"/>
      <c r="AG52" s="1522"/>
      <c r="AH52" s="1520" t="s">
        <v>2715</v>
      </c>
      <c r="AI52" s="1521"/>
      <c r="AJ52" s="1536"/>
      <c r="AO52" s="1569" t="str">
        <f t="shared" si="6"/>
        <v>RC4</v>
      </c>
      <c r="AP52" s="1567"/>
      <c r="AQ52" s="1016" t="str">
        <f t="shared" si="7"/>
        <v>17</v>
      </c>
    </row>
    <row r="53" spans="2:43" ht="12.95" customHeight="1" x14ac:dyDescent="0.2">
      <c r="B53" s="1537" t="s">
        <v>1223</v>
      </c>
      <c r="C53" s="1538"/>
      <c r="D53" s="1538"/>
      <c r="E53" s="1539"/>
      <c r="F53" s="1458" t="s">
        <v>1417</v>
      </c>
      <c r="G53" s="1459"/>
      <c r="H53" s="1459"/>
      <c r="I53" s="1459"/>
      <c r="J53" s="1459"/>
      <c r="K53" s="1459"/>
      <c r="L53" s="1459"/>
      <c r="M53" s="1459"/>
      <c r="N53" s="1459"/>
      <c r="O53" s="1459"/>
      <c r="P53" s="1459"/>
      <c r="Q53" s="1459"/>
      <c r="R53" s="1459"/>
      <c r="S53" s="1459"/>
      <c r="T53" s="1459"/>
      <c r="U53" s="1459"/>
      <c r="V53" s="1459"/>
      <c r="W53" s="1459"/>
      <c r="X53" s="1459"/>
      <c r="Y53" s="1459"/>
      <c r="Z53" s="1459"/>
      <c r="AA53" s="1459"/>
      <c r="AB53" s="1459"/>
      <c r="AC53" s="1460"/>
      <c r="AD53" s="1223" t="str">
        <f t="shared" si="5"/>
        <v>17A-15m Metal deck plus R-15 board, no ceiling</v>
      </c>
      <c r="AE53" s="1520">
        <v>6.0999999999999999E-2</v>
      </c>
      <c r="AF53" s="1521"/>
      <c r="AG53" s="1522"/>
      <c r="AH53" s="1520" t="s">
        <v>2709</v>
      </c>
      <c r="AI53" s="1521"/>
      <c r="AJ53" s="1536"/>
      <c r="AO53" s="1569" t="str">
        <f t="shared" si="6"/>
        <v>R13</v>
      </c>
      <c r="AP53" s="1567"/>
      <c r="AQ53" s="1016" t="str">
        <f t="shared" si="7"/>
        <v>17</v>
      </c>
    </row>
    <row r="54" spans="2:43" ht="12.95" customHeight="1" x14ac:dyDescent="0.2">
      <c r="B54" s="1537"/>
      <c r="C54" s="1538"/>
      <c r="D54" s="1538"/>
      <c r="E54" s="1539"/>
      <c r="F54" s="1458"/>
      <c r="G54" s="1459"/>
      <c r="H54" s="1459"/>
      <c r="I54" s="1459"/>
      <c r="J54" s="1459"/>
      <c r="K54" s="1459"/>
      <c r="L54" s="1459"/>
      <c r="M54" s="1459"/>
      <c r="N54" s="1459"/>
      <c r="O54" s="1459"/>
      <c r="P54" s="1459"/>
      <c r="Q54" s="1459"/>
      <c r="R54" s="1459"/>
      <c r="S54" s="1459"/>
      <c r="T54" s="1459"/>
      <c r="U54" s="1459"/>
      <c r="V54" s="1459"/>
      <c r="W54" s="1459"/>
      <c r="X54" s="1459"/>
      <c r="Y54" s="1459"/>
      <c r="Z54" s="1459"/>
      <c r="AA54" s="1459"/>
      <c r="AB54" s="1459"/>
      <c r="AC54" s="1460"/>
      <c r="AD54" s="1223" t="str">
        <f t="shared" si="5"/>
        <v xml:space="preserve"> </v>
      </c>
      <c r="AE54" s="1520"/>
      <c r="AF54" s="1521"/>
      <c r="AG54" s="1522"/>
      <c r="AH54" s="1520"/>
      <c r="AI54" s="1521"/>
      <c r="AJ54" s="1536"/>
      <c r="AO54" s="1569">
        <f t="shared" si="6"/>
        <v>0</v>
      </c>
      <c r="AP54" s="1567"/>
      <c r="AQ54" s="1016" t="str">
        <f t="shared" si="7"/>
        <v/>
      </c>
    </row>
    <row r="55" spans="2:43" ht="12.95" customHeight="1" x14ac:dyDescent="0.2">
      <c r="B55" s="1537"/>
      <c r="C55" s="1538"/>
      <c r="D55" s="1538"/>
      <c r="E55" s="1539"/>
      <c r="F55" s="1458"/>
      <c r="G55" s="1459"/>
      <c r="H55" s="1459"/>
      <c r="I55" s="1459"/>
      <c r="J55" s="1459"/>
      <c r="K55" s="1459"/>
      <c r="L55" s="1459"/>
      <c r="M55" s="1459"/>
      <c r="N55" s="1459"/>
      <c r="O55" s="1459"/>
      <c r="P55" s="1459"/>
      <c r="Q55" s="1459"/>
      <c r="R55" s="1459"/>
      <c r="S55" s="1459"/>
      <c r="T55" s="1459"/>
      <c r="U55" s="1459"/>
      <c r="V55" s="1459"/>
      <c r="W55" s="1459"/>
      <c r="X55" s="1459"/>
      <c r="Y55" s="1459"/>
      <c r="Z55" s="1459"/>
      <c r="AA55" s="1459"/>
      <c r="AB55" s="1459"/>
      <c r="AC55" s="1460"/>
      <c r="AD55" s="1223" t="str">
        <f t="shared" si="5"/>
        <v xml:space="preserve"> </v>
      </c>
      <c r="AE55" s="1520"/>
      <c r="AF55" s="1521"/>
      <c r="AG55" s="1522"/>
      <c r="AH55" s="1520"/>
      <c r="AI55" s="1521"/>
      <c r="AJ55" s="1536"/>
      <c r="AO55" s="1569">
        <f t="shared" si="6"/>
        <v>0</v>
      </c>
      <c r="AP55" s="1567"/>
      <c r="AQ55" s="1016" t="str">
        <f t="shared" si="7"/>
        <v/>
      </c>
    </row>
    <row r="56" spans="2:43" ht="12.95" customHeight="1" x14ac:dyDescent="0.2">
      <c r="B56" s="1537"/>
      <c r="C56" s="1538"/>
      <c r="D56" s="1538"/>
      <c r="E56" s="1539"/>
      <c r="F56" s="1458"/>
      <c r="G56" s="1459"/>
      <c r="H56" s="1459"/>
      <c r="I56" s="1459"/>
      <c r="J56" s="1459"/>
      <c r="K56" s="1459"/>
      <c r="L56" s="1459"/>
      <c r="M56" s="1459"/>
      <c r="N56" s="1459"/>
      <c r="O56" s="1459"/>
      <c r="P56" s="1459"/>
      <c r="Q56" s="1459"/>
      <c r="R56" s="1459"/>
      <c r="S56" s="1459"/>
      <c r="T56" s="1459"/>
      <c r="U56" s="1459"/>
      <c r="V56" s="1459"/>
      <c r="W56" s="1459"/>
      <c r="X56" s="1459"/>
      <c r="Y56" s="1459"/>
      <c r="Z56" s="1459"/>
      <c r="AA56" s="1459"/>
      <c r="AB56" s="1459"/>
      <c r="AC56" s="1460"/>
      <c r="AD56" s="1223" t="str">
        <f t="shared" si="5"/>
        <v xml:space="preserve"> </v>
      </c>
      <c r="AE56" s="1520"/>
      <c r="AF56" s="1521"/>
      <c r="AG56" s="1522"/>
      <c r="AH56" s="1520"/>
      <c r="AI56" s="1521"/>
      <c r="AJ56" s="1536"/>
      <c r="AO56" s="1569">
        <f t="shared" si="6"/>
        <v>0</v>
      </c>
      <c r="AP56" s="1567"/>
      <c r="AQ56" s="1016" t="str">
        <f t="shared" si="7"/>
        <v/>
      </c>
    </row>
    <row r="57" spans="2:43" ht="12.95" customHeight="1" thickBot="1" x14ac:dyDescent="0.25">
      <c r="B57" s="1570"/>
      <c r="C57" s="1571"/>
      <c r="D57" s="1571"/>
      <c r="E57" s="1572"/>
      <c r="F57" s="1540"/>
      <c r="G57" s="1531"/>
      <c r="H57" s="1531"/>
      <c r="I57" s="1531"/>
      <c r="J57" s="1531"/>
      <c r="K57" s="1531"/>
      <c r="L57" s="1531"/>
      <c r="M57" s="1531"/>
      <c r="N57" s="1531"/>
      <c r="O57" s="1531"/>
      <c r="P57" s="1531"/>
      <c r="Q57" s="1531"/>
      <c r="R57" s="1531"/>
      <c r="S57" s="1531"/>
      <c r="T57" s="1531"/>
      <c r="U57" s="1531"/>
      <c r="V57" s="1531"/>
      <c r="W57" s="1531"/>
      <c r="X57" s="1531"/>
      <c r="Y57" s="1531"/>
      <c r="Z57" s="1531"/>
      <c r="AA57" s="1531"/>
      <c r="AB57" s="1531"/>
      <c r="AC57" s="1532"/>
      <c r="AD57" s="1224" t="str">
        <f t="shared" si="5"/>
        <v xml:space="preserve"> </v>
      </c>
      <c r="AE57" s="1564"/>
      <c r="AF57" s="1565"/>
      <c r="AG57" s="1566"/>
      <c r="AH57" s="1564"/>
      <c r="AI57" s="1565"/>
      <c r="AJ57" s="1568"/>
      <c r="AO57" s="1569">
        <f t="shared" si="6"/>
        <v>0</v>
      </c>
      <c r="AP57" s="1567"/>
      <c r="AQ57" s="1016" t="str">
        <f t="shared" si="7"/>
        <v/>
      </c>
    </row>
    <row r="58" spans="2:43" ht="12.95" customHeight="1" thickBot="1" x14ac:dyDescent="0.25"/>
    <row r="59" spans="2:43" ht="12.95" customHeight="1" thickBot="1" x14ac:dyDescent="0.25">
      <c r="B59" s="1533" t="s">
        <v>2437</v>
      </c>
      <c r="C59" s="1534"/>
      <c r="D59" s="1534"/>
      <c r="E59" s="1534"/>
      <c r="F59" s="1534"/>
      <c r="G59" s="1534"/>
      <c r="H59" s="1534"/>
      <c r="I59" s="1534"/>
      <c r="J59" s="1534"/>
      <c r="K59" s="1534"/>
      <c r="L59" s="1534"/>
      <c r="M59" s="1534"/>
      <c r="N59" s="1534"/>
      <c r="O59" s="1534"/>
      <c r="P59" s="1534"/>
      <c r="Q59" s="1534"/>
      <c r="R59" s="1534"/>
      <c r="S59" s="1534"/>
      <c r="T59" s="1534"/>
      <c r="U59" s="1534"/>
      <c r="V59" s="1534"/>
      <c r="W59" s="1534"/>
      <c r="X59" s="1534"/>
      <c r="Y59" s="1534"/>
      <c r="Z59" s="1534"/>
      <c r="AA59" s="1534"/>
      <c r="AB59" s="1534"/>
      <c r="AC59" s="1534"/>
      <c r="AD59" s="1534"/>
      <c r="AE59" s="1534"/>
      <c r="AF59" s="1534"/>
      <c r="AG59" s="1534"/>
      <c r="AH59" s="1534"/>
      <c r="AI59" s="1534"/>
      <c r="AJ59" s="1534"/>
      <c r="AK59" s="1534"/>
      <c r="AL59" s="1534"/>
      <c r="AM59" s="1535"/>
    </row>
    <row r="60" spans="2:43" ht="12.95" customHeight="1" x14ac:dyDescent="0.2">
      <c r="B60" s="1529" t="s">
        <v>1291</v>
      </c>
      <c r="C60" s="1527"/>
      <c r="D60" s="1527"/>
      <c r="E60" s="1527"/>
      <c r="F60" s="1526" t="s">
        <v>1533</v>
      </c>
      <c r="G60" s="1527"/>
      <c r="H60" s="1527"/>
      <c r="I60" s="1527"/>
      <c r="J60" s="1527"/>
      <c r="K60" s="1527"/>
      <c r="L60" s="1527"/>
      <c r="M60" s="1527"/>
      <c r="N60" s="1527"/>
      <c r="O60" s="1527"/>
      <c r="P60" s="1527"/>
      <c r="Q60" s="1527"/>
      <c r="R60" s="1527"/>
      <c r="S60" s="1527"/>
      <c r="T60" s="1527"/>
      <c r="U60" s="1527"/>
      <c r="V60" s="1527"/>
      <c r="W60" s="1527"/>
      <c r="X60" s="1527"/>
      <c r="Y60" s="1527"/>
      <c r="Z60" s="1527"/>
      <c r="AA60" s="1527"/>
      <c r="AB60" s="1527"/>
      <c r="AC60" s="1528"/>
      <c r="AD60" s="1075"/>
      <c r="AE60" s="1523" t="s">
        <v>3497</v>
      </c>
      <c r="AF60" s="1524"/>
      <c r="AG60" s="1525"/>
      <c r="AH60" s="1523" t="s">
        <v>4166</v>
      </c>
      <c r="AI60" s="1524"/>
      <c r="AJ60" s="1524"/>
      <c r="AK60" s="1573" t="s">
        <v>2570</v>
      </c>
      <c r="AL60" s="1574"/>
      <c r="AM60" s="1575"/>
    </row>
    <row r="61" spans="2:43" ht="12.95" customHeight="1" x14ac:dyDescent="0.2">
      <c r="B61" s="1519" t="s">
        <v>71</v>
      </c>
      <c r="C61" s="1459"/>
      <c r="D61" s="1459"/>
      <c r="E61" s="1460"/>
      <c r="F61" s="1458" t="s">
        <v>2636</v>
      </c>
      <c r="G61" s="1459"/>
      <c r="H61" s="1459"/>
      <c r="I61" s="1459"/>
      <c r="J61" s="1459"/>
      <c r="K61" s="1459"/>
      <c r="L61" s="1459"/>
      <c r="M61" s="1459"/>
      <c r="N61" s="1459"/>
      <c r="O61" s="1459"/>
      <c r="P61" s="1459"/>
      <c r="Q61" s="1459"/>
      <c r="R61" s="1459"/>
      <c r="S61" s="1459"/>
      <c r="T61" s="1459"/>
      <c r="U61" s="1459"/>
      <c r="V61" s="1459"/>
      <c r="W61" s="1459"/>
      <c r="X61" s="1459"/>
      <c r="Y61" s="1459"/>
      <c r="Z61" s="1459"/>
      <c r="AA61" s="1459"/>
      <c r="AB61" s="1459"/>
      <c r="AC61" s="1460"/>
      <c r="AD61" s="1223" t="str">
        <f>B61&amp;" "&amp;F61</f>
        <v>19AP-0c No Wall Insulation, Vented Crawlspace, No Floor Insulation, Carpet</v>
      </c>
      <c r="AE61" s="1520">
        <v>0.36799999999999999</v>
      </c>
      <c r="AF61" s="1521"/>
      <c r="AG61" s="1522"/>
      <c r="AH61" s="1579">
        <v>24.4</v>
      </c>
      <c r="AI61" s="1580"/>
      <c r="AJ61" s="1580"/>
      <c r="AK61" s="1579">
        <v>7.5</v>
      </c>
      <c r="AL61" s="1580"/>
      <c r="AM61" s="1581"/>
      <c r="AQ61" s="1016" t="str">
        <f>LEFT(B61,2)</f>
        <v>19</v>
      </c>
    </row>
    <row r="62" spans="2:43" ht="12.95" customHeight="1" x14ac:dyDescent="0.2">
      <c r="B62" s="1519" t="s">
        <v>3118</v>
      </c>
      <c r="C62" s="1459"/>
      <c r="D62" s="1459"/>
      <c r="E62" s="1460"/>
      <c r="F62" s="1458" t="s">
        <v>3119</v>
      </c>
      <c r="G62" s="1459"/>
      <c r="H62" s="1459"/>
      <c r="I62" s="1459"/>
      <c r="J62" s="1459"/>
      <c r="K62" s="1459"/>
      <c r="L62" s="1459"/>
      <c r="M62" s="1459"/>
      <c r="N62" s="1459"/>
      <c r="O62" s="1459"/>
      <c r="P62" s="1459"/>
      <c r="Q62" s="1459"/>
      <c r="R62" s="1459"/>
      <c r="S62" s="1459"/>
      <c r="T62" s="1459"/>
      <c r="U62" s="1459"/>
      <c r="V62" s="1459"/>
      <c r="W62" s="1459"/>
      <c r="X62" s="1459"/>
      <c r="Y62" s="1459"/>
      <c r="Z62" s="1459"/>
      <c r="AA62" s="1459"/>
      <c r="AB62" s="1459"/>
      <c r="AC62" s="1460"/>
      <c r="AD62" s="1223" t="str">
        <f>B62&amp;" "&amp;F62</f>
        <v>20BP-0pc Precast hollow core deck, no insulation</v>
      </c>
      <c r="AE62" s="1520">
        <v>0.49</v>
      </c>
      <c r="AF62" s="1521"/>
      <c r="AG62" s="1522"/>
      <c r="AH62" s="1579">
        <v>0</v>
      </c>
      <c r="AI62" s="1580"/>
      <c r="AJ62" s="1580"/>
      <c r="AK62" s="1579">
        <v>20</v>
      </c>
      <c r="AL62" s="1580"/>
      <c r="AM62" s="1581"/>
      <c r="AQ62" s="1016" t="str">
        <f t="shared" ref="AQ62:AQ81" si="8">LEFT(B62,2)</f>
        <v>20</v>
      </c>
    </row>
    <row r="63" spans="2:43" ht="12.95" customHeight="1" x14ac:dyDescent="0.2">
      <c r="B63" s="1519"/>
      <c r="C63" s="1459"/>
      <c r="D63" s="1459"/>
      <c r="E63" s="1460"/>
      <c r="F63" s="1458"/>
      <c r="G63" s="1459"/>
      <c r="H63" s="1459"/>
      <c r="I63" s="1459"/>
      <c r="J63" s="1459"/>
      <c r="K63" s="1459"/>
      <c r="L63" s="1459"/>
      <c r="M63" s="1459"/>
      <c r="N63" s="1459"/>
      <c r="O63" s="1459"/>
      <c r="P63" s="1459"/>
      <c r="Q63" s="1459"/>
      <c r="R63" s="1459"/>
      <c r="S63" s="1459"/>
      <c r="T63" s="1459"/>
      <c r="U63" s="1459"/>
      <c r="V63" s="1459"/>
      <c r="W63" s="1459"/>
      <c r="X63" s="1459"/>
      <c r="Y63" s="1459"/>
      <c r="Z63" s="1459"/>
      <c r="AA63" s="1459"/>
      <c r="AB63" s="1459"/>
      <c r="AC63" s="1460"/>
      <c r="AD63" s="1223"/>
      <c r="AE63" s="1520"/>
      <c r="AF63" s="1521"/>
      <c r="AG63" s="1522"/>
      <c r="AH63" s="1579"/>
      <c r="AI63" s="1580"/>
      <c r="AJ63" s="1580"/>
      <c r="AK63" s="1579"/>
      <c r="AL63" s="1580"/>
      <c r="AM63" s="1581"/>
      <c r="AQ63" s="1016" t="str">
        <f t="shared" si="8"/>
        <v/>
      </c>
    </row>
    <row r="64" spans="2:43" ht="12.95" customHeight="1" x14ac:dyDescent="0.2">
      <c r="B64" s="1519"/>
      <c r="C64" s="1459"/>
      <c r="D64" s="1459"/>
      <c r="E64" s="1460"/>
      <c r="F64" s="1458"/>
      <c r="G64" s="1459"/>
      <c r="H64" s="1459"/>
      <c r="I64" s="1459"/>
      <c r="J64" s="1459"/>
      <c r="K64" s="1459"/>
      <c r="L64" s="1459"/>
      <c r="M64" s="1459"/>
      <c r="N64" s="1459"/>
      <c r="O64" s="1459"/>
      <c r="P64" s="1459"/>
      <c r="Q64" s="1459"/>
      <c r="R64" s="1459"/>
      <c r="S64" s="1459"/>
      <c r="T64" s="1459"/>
      <c r="U64" s="1459"/>
      <c r="V64" s="1459"/>
      <c r="W64" s="1459"/>
      <c r="X64" s="1459"/>
      <c r="Y64" s="1459"/>
      <c r="Z64" s="1459"/>
      <c r="AA64" s="1459"/>
      <c r="AB64" s="1459"/>
      <c r="AC64" s="1460"/>
      <c r="AD64" s="1223" t="str">
        <f>B64&amp;" "&amp;F64</f>
        <v xml:space="preserve"> </v>
      </c>
      <c r="AE64" s="1520"/>
      <c r="AF64" s="1521"/>
      <c r="AG64" s="1522"/>
      <c r="AH64" s="1579"/>
      <c r="AI64" s="1580"/>
      <c r="AJ64" s="1580"/>
      <c r="AK64" s="1579"/>
      <c r="AL64" s="1580"/>
      <c r="AM64" s="1581"/>
      <c r="AQ64" s="1016" t="str">
        <f t="shared" si="8"/>
        <v/>
      </c>
    </row>
    <row r="65" spans="2:43" ht="12.95" customHeight="1" x14ac:dyDescent="0.2">
      <c r="B65" s="1519"/>
      <c r="C65" s="1459"/>
      <c r="D65" s="1459"/>
      <c r="E65" s="1460"/>
      <c r="F65" s="1458"/>
      <c r="G65" s="1459"/>
      <c r="H65" s="1459"/>
      <c r="I65" s="1459"/>
      <c r="J65" s="1459"/>
      <c r="K65" s="1459"/>
      <c r="L65" s="1459"/>
      <c r="M65" s="1459"/>
      <c r="N65" s="1459"/>
      <c r="O65" s="1459"/>
      <c r="P65" s="1459"/>
      <c r="Q65" s="1459"/>
      <c r="R65" s="1459"/>
      <c r="S65" s="1459"/>
      <c r="T65" s="1459"/>
      <c r="U65" s="1459"/>
      <c r="V65" s="1459"/>
      <c r="W65" s="1459"/>
      <c r="X65" s="1459"/>
      <c r="Y65" s="1459"/>
      <c r="Z65" s="1459"/>
      <c r="AA65" s="1459"/>
      <c r="AB65" s="1459"/>
      <c r="AC65" s="1460"/>
      <c r="AD65" s="1223" t="str">
        <f>B65&amp;" "&amp;F65</f>
        <v xml:space="preserve"> </v>
      </c>
      <c r="AE65" s="1520"/>
      <c r="AF65" s="1521"/>
      <c r="AG65" s="1522"/>
      <c r="AH65" s="1579"/>
      <c r="AI65" s="1580"/>
      <c r="AJ65" s="1580"/>
      <c r="AK65" s="1579"/>
      <c r="AL65" s="1580"/>
      <c r="AM65" s="1581"/>
      <c r="AQ65" s="1016" t="str">
        <f t="shared" si="8"/>
        <v/>
      </c>
    </row>
    <row r="66" spans="2:43" ht="12.95" customHeight="1" x14ac:dyDescent="0.2">
      <c r="B66" s="1529" t="s">
        <v>72</v>
      </c>
      <c r="C66" s="1527"/>
      <c r="D66" s="1527"/>
      <c r="E66" s="1527"/>
      <c r="F66" s="1526" t="s">
        <v>1533</v>
      </c>
      <c r="G66" s="1527"/>
      <c r="H66" s="1527"/>
      <c r="I66" s="1527"/>
      <c r="J66" s="1527"/>
      <c r="K66" s="1527"/>
      <c r="L66" s="1527"/>
      <c r="M66" s="1527"/>
      <c r="N66" s="1527"/>
      <c r="O66" s="1527"/>
      <c r="P66" s="1527"/>
      <c r="Q66" s="1527"/>
      <c r="R66" s="1527"/>
      <c r="S66" s="1527"/>
      <c r="T66" s="1527"/>
      <c r="U66" s="1527"/>
      <c r="V66" s="1527"/>
      <c r="W66" s="1527"/>
      <c r="X66" s="1527"/>
      <c r="Y66" s="1527"/>
      <c r="Z66" s="1527"/>
      <c r="AA66" s="1527"/>
      <c r="AB66" s="1527"/>
      <c r="AC66" s="1528"/>
      <c r="AD66" s="1075"/>
      <c r="AE66" s="1523" t="s">
        <v>3497</v>
      </c>
      <c r="AF66" s="1524"/>
      <c r="AG66" s="1525"/>
      <c r="AH66" s="1588"/>
      <c r="AI66" s="1589"/>
      <c r="AJ66" s="1589"/>
      <c r="AK66" s="1576" t="s">
        <v>3500</v>
      </c>
      <c r="AL66" s="1577"/>
      <c r="AM66" s="1578"/>
    </row>
    <row r="67" spans="2:43" ht="12.95" customHeight="1" x14ac:dyDescent="0.2">
      <c r="B67" s="1519" t="s">
        <v>2637</v>
      </c>
      <c r="C67" s="1459"/>
      <c r="D67" s="1459"/>
      <c r="E67" s="1460"/>
      <c r="F67" s="1458" t="s">
        <v>2638</v>
      </c>
      <c r="G67" s="1459"/>
      <c r="H67" s="1459"/>
      <c r="I67" s="1459"/>
      <c r="J67" s="1459"/>
      <c r="K67" s="1459"/>
      <c r="L67" s="1459"/>
      <c r="M67" s="1459"/>
      <c r="N67" s="1459"/>
      <c r="O67" s="1459"/>
      <c r="P67" s="1459"/>
      <c r="Q67" s="1459"/>
      <c r="R67" s="1459"/>
      <c r="S67" s="1459"/>
      <c r="T67" s="1459"/>
      <c r="U67" s="1459"/>
      <c r="V67" s="1459"/>
      <c r="W67" s="1459"/>
      <c r="X67" s="1459"/>
      <c r="Y67" s="1459"/>
      <c r="Z67" s="1459"/>
      <c r="AA67" s="1459"/>
      <c r="AB67" s="1459"/>
      <c r="AC67" s="1460"/>
      <c r="AD67" s="1223" t="str">
        <f>B67&amp;" "&amp;F67</f>
        <v>20AP-19 Light Weight, Open Crawlspace, R-19 Floor Insulation</v>
      </c>
      <c r="AE67" s="1520">
        <v>0.05</v>
      </c>
      <c r="AF67" s="1521"/>
      <c r="AG67" s="1522"/>
      <c r="AH67" s="1590"/>
      <c r="AI67" s="1591"/>
      <c r="AJ67" s="1591"/>
      <c r="AK67" s="1579">
        <v>15</v>
      </c>
      <c r="AL67" s="1580"/>
      <c r="AM67" s="1581"/>
      <c r="AQ67" s="1016" t="str">
        <f t="shared" si="8"/>
        <v>20</v>
      </c>
    </row>
    <row r="68" spans="2:43" ht="12.95" customHeight="1" x14ac:dyDescent="0.2">
      <c r="B68" s="1519"/>
      <c r="C68" s="1459"/>
      <c r="D68" s="1459"/>
      <c r="E68" s="1460"/>
      <c r="F68" s="1458"/>
      <c r="G68" s="1459"/>
      <c r="H68" s="1459"/>
      <c r="I68" s="1459"/>
      <c r="J68" s="1459"/>
      <c r="K68" s="1459"/>
      <c r="L68" s="1459"/>
      <c r="M68" s="1459"/>
      <c r="N68" s="1459"/>
      <c r="O68" s="1459"/>
      <c r="P68" s="1459"/>
      <c r="Q68" s="1459"/>
      <c r="R68" s="1459"/>
      <c r="S68" s="1459"/>
      <c r="T68" s="1459"/>
      <c r="U68" s="1459"/>
      <c r="V68" s="1459"/>
      <c r="W68" s="1459"/>
      <c r="X68" s="1459"/>
      <c r="Y68" s="1459"/>
      <c r="Z68" s="1459"/>
      <c r="AA68" s="1459"/>
      <c r="AB68" s="1459"/>
      <c r="AC68" s="1460"/>
      <c r="AD68" s="1223"/>
      <c r="AE68" s="1520"/>
      <c r="AF68" s="1521"/>
      <c r="AG68" s="1522"/>
      <c r="AH68" s="1590"/>
      <c r="AI68" s="1591"/>
      <c r="AJ68" s="1591"/>
      <c r="AK68" s="1579"/>
      <c r="AL68" s="1580"/>
      <c r="AM68" s="1581"/>
      <c r="AQ68" s="1016" t="str">
        <f t="shared" si="8"/>
        <v/>
      </c>
    </row>
    <row r="69" spans="2:43" ht="12.95" customHeight="1" x14ac:dyDescent="0.2">
      <c r="B69" s="1519"/>
      <c r="C69" s="1459"/>
      <c r="D69" s="1459"/>
      <c r="E69" s="1460"/>
      <c r="F69" s="1458"/>
      <c r="G69" s="1459"/>
      <c r="H69" s="1459"/>
      <c r="I69" s="1459"/>
      <c r="J69" s="1459"/>
      <c r="K69" s="1459"/>
      <c r="L69" s="1459"/>
      <c r="M69" s="1459"/>
      <c r="N69" s="1459"/>
      <c r="O69" s="1459"/>
      <c r="P69" s="1459"/>
      <c r="Q69" s="1459"/>
      <c r="R69" s="1459"/>
      <c r="S69" s="1459"/>
      <c r="T69" s="1459"/>
      <c r="U69" s="1459"/>
      <c r="V69" s="1459"/>
      <c r="W69" s="1459"/>
      <c r="X69" s="1459"/>
      <c r="Y69" s="1459"/>
      <c r="Z69" s="1459"/>
      <c r="AA69" s="1459"/>
      <c r="AB69" s="1459"/>
      <c r="AC69" s="1460"/>
      <c r="AD69" s="1223" t="str">
        <f>B69&amp;" "&amp;F69</f>
        <v xml:space="preserve"> </v>
      </c>
      <c r="AE69" s="1520"/>
      <c r="AF69" s="1521"/>
      <c r="AG69" s="1522"/>
      <c r="AH69" s="1590"/>
      <c r="AI69" s="1591"/>
      <c r="AJ69" s="1591"/>
      <c r="AK69" s="1579"/>
      <c r="AL69" s="1580"/>
      <c r="AM69" s="1581"/>
      <c r="AQ69" s="1016" t="str">
        <f t="shared" si="8"/>
        <v/>
      </c>
    </row>
    <row r="70" spans="2:43" ht="12.95" customHeight="1" x14ac:dyDescent="0.2">
      <c r="B70" s="1529" t="s">
        <v>73</v>
      </c>
      <c r="C70" s="1527"/>
      <c r="D70" s="1527"/>
      <c r="E70" s="1527"/>
      <c r="F70" s="1526" t="s">
        <v>1533</v>
      </c>
      <c r="G70" s="1527"/>
      <c r="H70" s="1527"/>
      <c r="I70" s="1527"/>
      <c r="J70" s="1527"/>
      <c r="K70" s="1527"/>
      <c r="L70" s="1527"/>
      <c r="M70" s="1527"/>
      <c r="N70" s="1527"/>
      <c r="O70" s="1527"/>
      <c r="P70" s="1527"/>
      <c r="Q70" s="1527"/>
      <c r="R70" s="1527"/>
      <c r="S70" s="1527"/>
      <c r="T70" s="1527"/>
      <c r="U70" s="1527"/>
      <c r="V70" s="1527"/>
      <c r="W70" s="1527"/>
      <c r="X70" s="1527"/>
      <c r="Y70" s="1527"/>
      <c r="Z70" s="1527"/>
      <c r="AA70" s="1527"/>
      <c r="AB70" s="1527"/>
      <c r="AC70" s="1528"/>
      <c r="AD70" s="1075"/>
      <c r="AE70" s="1523" t="s">
        <v>3497</v>
      </c>
      <c r="AF70" s="1524"/>
      <c r="AG70" s="1525"/>
      <c r="AH70" s="1590"/>
      <c r="AI70" s="1591"/>
      <c r="AJ70" s="1591"/>
      <c r="AK70" s="1576" t="s">
        <v>2838</v>
      </c>
      <c r="AL70" s="1577"/>
      <c r="AM70" s="1578"/>
      <c r="AO70" s="1541" t="s">
        <v>3500</v>
      </c>
      <c r="AP70" s="1541"/>
    </row>
    <row r="71" spans="2:43" ht="12.95" customHeight="1" x14ac:dyDescent="0.2">
      <c r="B71" s="1519" t="s">
        <v>2639</v>
      </c>
      <c r="C71" s="1459"/>
      <c r="D71" s="1459"/>
      <c r="E71" s="1460"/>
      <c r="F71" s="1458" t="s">
        <v>2640</v>
      </c>
      <c r="G71" s="1459"/>
      <c r="H71" s="1459"/>
      <c r="I71" s="1459"/>
      <c r="J71" s="1459"/>
      <c r="K71" s="1459"/>
      <c r="L71" s="1459"/>
      <c r="M71" s="1459"/>
      <c r="N71" s="1459"/>
      <c r="O71" s="1459"/>
      <c r="P71" s="1459"/>
      <c r="Q71" s="1459"/>
      <c r="R71" s="1459"/>
      <c r="S71" s="1459"/>
      <c r="T71" s="1459"/>
      <c r="U71" s="1459"/>
      <c r="V71" s="1459"/>
      <c r="W71" s="1459"/>
      <c r="X71" s="1459"/>
      <c r="Y71" s="1459"/>
      <c r="Z71" s="1459"/>
      <c r="AA71" s="1459"/>
      <c r="AB71" s="1459"/>
      <c r="AC71" s="1460"/>
      <c r="AD71" s="1223" t="str">
        <f>B71&amp;" "&amp;F71</f>
        <v>20BP-3CF-19 3" Cement-Fiber Slab, R-19 Blanket below Floor</v>
      </c>
      <c r="AE71" s="1520">
        <v>3.4000000000000002E-2</v>
      </c>
      <c r="AF71" s="1521"/>
      <c r="AG71" s="1522"/>
      <c r="AH71" s="1590"/>
      <c r="AI71" s="1591"/>
      <c r="AJ71" s="1591"/>
      <c r="AK71" s="1579" t="s">
        <v>1513</v>
      </c>
      <c r="AL71" s="1580"/>
      <c r="AM71" s="1581"/>
      <c r="AO71" s="1569">
        <f>VLOOKUP(AK71,KW!$A$225:$E$231,KW!$A$183,FALSE)</f>
        <v>4</v>
      </c>
      <c r="AP71" s="1569"/>
      <c r="AQ71" s="1016" t="str">
        <f t="shared" si="8"/>
        <v>20</v>
      </c>
    </row>
    <row r="72" spans="2:43" ht="12.95" customHeight="1" x14ac:dyDescent="0.2">
      <c r="B72" s="1519" t="s">
        <v>3118</v>
      </c>
      <c r="C72" s="1459"/>
      <c r="D72" s="1459"/>
      <c r="E72" s="1460"/>
      <c r="F72" s="1458" t="s">
        <v>3119</v>
      </c>
      <c r="G72" s="1459"/>
      <c r="H72" s="1459"/>
      <c r="I72" s="1459"/>
      <c r="J72" s="1459"/>
      <c r="K72" s="1459"/>
      <c r="L72" s="1459"/>
      <c r="M72" s="1459"/>
      <c r="N72" s="1459"/>
      <c r="O72" s="1459"/>
      <c r="P72" s="1459"/>
      <c r="Q72" s="1459"/>
      <c r="R72" s="1459"/>
      <c r="S72" s="1459"/>
      <c r="T72" s="1459"/>
      <c r="U72" s="1459"/>
      <c r="V72" s="1459"/>
      <c r="W72" s="1459"/>
      <c r="X72" s="1459"/>
      <c r="Y72" s="1459"/>
      <c r="Z72" s="1459"/>
      <c r="AA72" s="1459"/>
      <c r="AB72" s="1459"/>
      <c r="AC72" s="1460"/>
      <c r="AD72" s="1223" t="str">
        <f>B72&amp;" "&amp;F72</f>
        <v>20BP-0pc Precast hollow core deck, no insulation</v>
      </c>
      <c r="AE72" s="1520">
        <v>0.49</v>
      </c>
      <c r="AF72" s="1521"/>
      <c r="AG72" s="1522"/>
      <c r="AH72" s="1590"/>
      <c r="AI72" s="1591"/>
      <c r="AJ72" s="1591"/>
      <c r="AK72" s="1579" t="s">
        <v>1512</v>
      </c>
      <c r="AL72" s="1580"/>
      <c r="AM72" s="1581"/>
      <c r="AO72" s="1569">
        <f>VLOOKUP(AK72,KW!$A$225:$E$231,KW!$A$183,FALSE)</f>
        <v>6</v>
      </c>
      <c r="AP72" s="1569"/>
      <c r="AQ72" s="1016" t="str">
        <f t="shared" si="8"/>
        <v>20</v>
      </c>
    </row>
    <row r="73" spans="2:43" ht="12.95" customHeight="1" x14ac:dyDescent="0.2">
      <c r="B73" s="1519"/>
      <c r="C73" s="1459"/>
      <c r="D73" s="1459"/>
      <c r="E73" s="1460"/>
      <c r="F73" s="1458"/>
      <c r="G73" s="1459"/>
      <c r="H73" s="1459"/>
      <c r="I73" s="1459"/>
      <c r="J73" s="1459"/>
      <c r="K73" s="1459"/>
      <c r="L73" s="1459"/>
      <c r="M73" s="1459"/>
      <c r="N73" s="1459"/>
      <c r="O73" s="1459"/>
      <c r="P73" s="1459"/>
      <c r="Q73" s="1459"/>
      <c r="R73" s="1459"/>
      <c r="S73" s="1459"/>
      <c r="T73" s="1459"/>
      <c r="U73" s="1459"/>
      <c r="V73" s="1459"/>
      <c r="W73" s="1459"/>
      <c r="X73" s="1459"/>
      <c r="Y73" s="1459"/>
      <c r="Z73" s="1459"/>
      <c r="AA73" s="1459"/>
      <c r="AB73" s="1459"/>
      <c r="AC73" s="1460"/>
      <c r="AD73" s="1223" t="str">
        <f>B73&amp;" "&amp;F73</f>
        <v xml:space="preserve"> </v>
      </c>
      <c r="AE73" s="1520"/>
      <c r="AF73" s="1521"/>
      <c r="AG73" s="1522"/>
      <c r="AH73" s="1590"/>
      <c r="AI73" s="1591"/>
      <c r="AJ73" s="1591"/>
      <c r="AK73" s="1579"/>
      <c r="AL73" s="1580"/>
      <c r="AM73" s="1581"/>
      <c r="AO73" s="1569" t="e">
        <f>VLOOKUP(AK73,KW!$A$225:$E$231,KW!$A$183,FALSE)</f>
        <v>#N/A</v>
      </c>
      <c r="AP73" s="1569"/>
      <c r="AQ73" s="1016" t="str">
        <f t="shared" si="8"/>
        <v/>
      </c>
    </row>
    <row r="74" spans="2:43" ht="12.95" customHeight="1" x14ac:dyDescent="0.2">
      <c r="B74" s="1529" t="s">
        <v>1292</v>
      </c>
      <c r="C74" s="1527"/>
      <c r="D74" s="1527"/>
      <c r="E74" s="1527"/>
      <c r="F74" s="1526" t="s">
        <v>1533</v>
      </c>
      <c r="G74" s="1527"/>
      <c r="H74" s="1527"/>
      <c r="I74" s="1527"/>
      <c r="J74" s="1527"/>
      <c r="K74" s="1527"/>
      <c r="L74" s="1527"/>
      <c r="M74" s="1527"/>
      <c r="N74" s="1527"/>
      <c r="O74" s="1527"/>
      <c r="P74" s="1527"/>
      <c r="Q74" s="1527"/>
      <c r="R74" s="1527"/>
      <c r="S74" s="1527"/>
      <c r="T74" s="1527"/>
      <c r="U74" s="1527"/>
      <c r="V74" s="1527"/>
      <c r="W74" s="1527"/>
      <c r="X74" s="1527"/>
      <c r="Y74" s="1527"/>
      <c r="Z74" s="1527"/>
      <c r="AA74" s="1527"/>
      <c r="AB74" s="1527"/>
      <c r="AC74" s="1528"/>
      <c r="AD74" s="1075"/>
      <c r="AE74" s="1523" t="s">
        <v>3497</v>
      </c>
      <c r="AF74" s="1524"/>
      <c r="AG74" s="1525"/>
      <c r="AH74" s="1590"/>
      <c r="AI74" s="1591"/>
      <c r="AJ74" s="1591"/>
      <c r="AK74" s="1582"/>
      <c r="AL74" s="1582"/>
      <c r="AM74" s="1583"/>
    </row>
    <row r="75" spans="2:43" ht="12.95" customHeight="1" x14ac:dyDescent="0.2">
      <c r="B75" s="1519" t="s">
        <v>75</v>
      </c>
      <c r="C75" s="1459"/>
      <c r="D75" s="1459"/>
      <c r="E75" s="1460"/>
      <c r="F75" s="1458" t="s">
        <v>2641</v>
      </c>
      <c r="G75" s="1459"/>
      <c r="H75" s="1459"/>
      <c r="I75" s="1459"/>
      <c r="J75" s="1459"/>
      <c r="K75" s="1459"/>
      <c r="L75" s="1459"/>
      <c r="M75" s="1459"/>
      <c r="N75" s="1459"/>
      <c r="O75" s="1459"/>
      <c r="P75" s="1459"/>
      <c r="Q75" s="1459"/>
      <c r="R75" s="1459"/>
      <c r="S75" s="1459"/>
      <c r="T75" s="1459"/>
      <c r="U75" s="1459"/>
      <c r="V75" s="1459"/>
      <c r="W75" s="1459"/>
      <c r="X75" s="1459"/>
      <c r="Y75" s="1459"/>
      <c r="Z75" s="1459"/>
      <c r="AA75" s="1459"/>
      <c r="AB75" s="1459"/>
      <c r="AC75" s="1460"/>
      <c r="AD75" s="1223" t="str">
        <f>B75&amp;" "&amp;F75</f>
        <v>21A-20 Basement, R-0</v>
      </c>
      <c r="AE75" s="1520">
        <v>2.7E-2</v>
      </c>
      <c r="AF75" s="1521"/>
      <c r="AG75" s="1522"/>
      <c r="AH75" s="1590"/>
      <c r="AI75" s="1591"/>
      <c r="AJ75" s="1591"/>
      <c r="AK75" s="1584"/>
      <c r="AL75" s="1584"/>
      <c r="AM75" s="1585"/>
    </row>
    <row r="76" spans="2:43" ht="12.95" customHeight="1" x14ac:dyDescent="0.2">
      <c r="B76" s="1519"/>
      <c r="C76" s="1459"/>
      <c r="D76" s="1459"/>
      <c r="E76" s="1460"/>
      <c r="F76" s="1458"/>
      <c r="G76" s="1459"/>
      <c r="H76" s="1459"/>
      <c r="I76" s="1459"/>
      <c r="J76" s="1459"/>
      <c r="K76" s="1459"/>
      <c r="L76" s="1459"/>
      <c r="M76" s="1459"/>
      <c r="N76" s="1459"/>
      <c r="O76" s="1459"/>
      <c r="P76" s="1459"/>
      <c r="Q76" s="1459"/>
      <c r="R76" s="1459"/>
      <c r="S76" s="1459"/>
      <c r="T76" s="1459"/>
      <c r="U76" s="1459"/>
      <c r="V76" s="1459"/>
      <c r="W76" s="1459"/>
      <c r="X76" s="1459"/>
      <c r="Y76" s="1459"/>
      <c r="Z76" s="1459"/>
      <c r="AA76" s="1459"/>
      <c r="AB76" s="1459"/>
      <c r="AC76" s="1460"/>
      <c r="AD76" s="1223" t="str">
        <f>B76&amp;" "&amp;F76</f>
        <v xml:space="preserve"> </v>
      </c>
      <c r="AE76" s="1520"/>
      <c r="AF76" s="1521"/>
      <c r="AG76" s="1522"/>
      <c r="AH76" s="1590"/>
      <c r="AI76" s="1591"/>
      <c r="AJ76" s="1591"/>
      <c r="AK76" s="1584"/>
      <c r="AL76" s="1584"/>
      <c r="AM76" s="1585"/>
      <c r="AQ76" s="1016" t="str">
        <f t="shared" si="8"/>
        <v/>
      </c>
    </row>
    <row r="77" spans="2:43" ht="12.95" customHeight="1" x14ac:dyDescent="0.2">
      <c r="B77" s="1519"/>
      <c r="C77" s="1459"/>
      <c r="D77" s="1459"/>
      <c r="E77" s="1460"/>
      <c r="F77" s="1458"/>
      <c r="G77" s="1459"/>
      <c r="H77" s="1459"/>
      <c r="I77" s="1459"/>
      <c r="J77" s="1459"/>
      <c r="K77" s="1459"/>
      <c r="L77" s="1459"/>
      <c r="M77" s="1459"/>
      <c r="N77" s="1459"/>
      <c r="O77" s="1459"/>
      <c r="P77" s="1459"/>
      <c r="Q77" s="1459"/>
      <c r="R77" s="1459"/>
      <c r="S77" s="1459"/>
      <c r="T77" s="1459"/>
      <c r="U77" s="1459"/>
      <c r="V77" s="1459"/>
      <c r="W77" s="1459"/>
      <c r="X77" s="1459"/>
      <c r="Y77" s="1459"/>
      <c r="Z77" s="1459"/>
      <c r="AA77" s="1459"/>
      <c r="AB77" s="1459"/>
      <c r="AC77" s="1460"/>
      <c r="AD77" s="1223" t="str">
        <f>B77&amp;" "&amp;F77</f>
        <v xml:space="preserve"> </v>
      </c>
      <c r="AE77" s="1520"/>
      <c r="AF77" s="1521"/>
      <c r="AG77" s="1522"/>
      <c r="AH77" s="1590"/>
      <c r="AI77" s="1591"/>
      <c r="AJ77" s="1591"/>
      <c r="AK77" s="1584"/>
      <c r="AL77" s="1584"/>
      <c r="AM77" s="1585"/>
      <c r="AQ77" s="1016" t="str">
        <f t="shared" si="8"/>
        <v/>
      </c>
    </row>
    <row r="78" spans="2:43" ht="12.95" customHeight="1" x14ac:dyDescent="0.2">
      <c r="B78" s="1529" t="s">
        <v>1293</v>
      </c>
      <c r="C78" s="1527"/>
      <c r="D78" s="1527"/>
      <c r="E78" s="1527"/>
      <c r="F78" s="1526" t="s">
        <v>1533</v>
      </c>
      <c r="G78" s="1527"/>
      <c r="H78" s="1527"/>
      <c r="I78" s="1527"/>
      <c r="J78" s="1527"/>
      <c r="K78" s="1527"/>
      <c r="L78" s="1527"/>
      <c r="M78" s="1527"/>
      <c r="N78" s="1527"/>
      <c r="O78" s="1527"/>
      <c r="P78" s="1527"/>
      <c r="Q78" s="1527"/>
      <c r="R78" s="1527"/>
      <c r="S78" s="1527"/>
      <c r="T78" s="1527"/>
      <c r="U78" s="1527"/>
      <c r="V78" s="1527"/>
      <c r="W78" s="1527"/>
      <c r="X78" s="1527"/>
      <c r="Y78" s="1527"/>
      <c r="Z78" s="1527"/>
      <c r="AA78" s="1527"/>
      <c r="AB78" s="1527"/>
      <c r="AC78" s="1528"/>
      <c r="AD78" s="1075"/>
      <c r="AE78" s="1523" t="s">
        <v>4164</v>
      </c>
      <c r="AF78" s="1524"/>
      <c r="AG78" s="1525"/>
      <c r="AH78" s="1590"/>
      <c r="AI78" s="1591"/>
      <c r="AJ78" s="1591"/>
      <c r="AK78" s="1584"/>
      <c r="AL78" s="1584"/>
      <c r="AM78" s="1585"/>
    </row>
    <row r="79" spans="2:43" ht="12.95" customHeight="1" x14ac:dyDescent="0.2">
      <c r="B79" s="1519" t="s">
        <v>74</v>
      </c>
      <c r="C79" s="1459"/>
      <c r="D79" s="1459"/>
      <c r="E79" s="1460"/>
      <c r="F79" s="1458" t="s">
        <v>2642</v>
      </c>
      <c r="G79" s="1459"/>
      <c r="H79" s="1459"/>
      <c r="I79" s="1459"/>
      <c r="J79" s="1459"/>
      <c r="K79" s="1459"/>
      <c r="L79" s="1459"/>
      <c r="M79" s="1459"/>
      <c r="N79" s="1459"/>
      <c r="O79" s="1459"/>
      <c r="P79" s="1459"/>
      <c r="Q79" s="1459"/>
      <c r="R79" s="1459"/>
      <c r="S79" s="1459"/>
      <c r="T79" s="1459"/>
      <c r="U79" s="1459"/>
      <c r="V79" s="1459"/>
      <c r="W79" s="1459"/>
      <c r="X79" s="1459"/>
      <c r="Y79" s="1459"/>
      <c r="Z79" s="1459"/>
      <c r="AA79" s="1459"/>
      <c r="AB79" s="1459"/>
      <c r="AC79" s="1460"/>
      <c r="AD79" s="1223" t="str">
        <f>B79&amp;" "&amp;F79</f>
        <v>22A-ph Slab on Grade, No Edge Insulation, Light Wet Soil</v>
      </c>
      <c r="AE79" s="1520">
        <v>1.18</v>
      </c>
      <c r="AF79" s="1521"/>
      <c r="AG79" s="1522"/>
      <c r="AH79" s="1590"/>
      <c r="AI79" s="1591"/>
      <c r="AJ79" s="1591"/>
      <c r="AK79" s="1584"/>
      <c r="AL79" s="1584"/>
      <c r="AM79" s="1585"/>
    </row>
    <row r="80" spans="2:43" ht="12.95" customHeight="1" x14ac:dyDescent="0.2">
      <c r="B80" s="1519" t="s">
        <v>1418</v>
      </c>
      <c r="C80" s="1459"/>
      <c r="D80" s="1459"/>
      <c r="E80" s="1460"/>
      <c r="F80" s="1458" t="s">
        <v>1419</v>
      </c>
      <c r="G80" s="1459"/>
      <c r="H80" s="1459"/>
      <c r="I80" s="1459"/>
      <c r="J80" s="1459"/>
      <c r="K80" s="1459"/>
      <c r="L80" s="1459"/>
      <c r="M80" s="1459"/>
      <c r="N80" s="1459"/>
      <c r="O80" s="1459"/>
      <c r="P80" s="1459"/>
      <c r="Q80" s="1459"/>
      <c r="R80" s="1459"/>
      <c r="S80" s="1459"/>
      <c r="T80" s="1459"/>
      <c r="U80" s="1459"/>
      <c r="V80" s="1459"/>
      <c r="W80" s="1459"/>
      <c r="X80" s="1459"/>
      <c r="Y80" s="1459"/>
      <c r="Z80" s="1459"/>
      <c r="AA80" s="1459"/>
      <c r="AB80" s="1459"/>
      <c r="AC80" s="1460"/>
      <c r="AD80" s="1223" t="str">
        <f>B80&amp;" "&amp;F80</f>
        <v>22B-10pm Slab on grade, 2" Edge Insulation, Heavy Dry or Light Wet Soil</v>
      </c>
      <c r="AE80" s="1520">
        <v>0.35499999999999998</v>
      </c>
      <c r="AF80" s="1521"/>
      <c r="AG80" s="1522"/>
      <c r="AH80" s="1590"/>
      <c r="AI80" s="1591"/>
      <c r="AJ80" s="1591"/>
      <c r="AK80" s="1584"/>
      <c r="AL80" s="1584"/>
      <c r="AM80" s="1585"/>
      <c r="AQ80" s="1016" t="str">
        <f t="shared" si="8"/>
        <v>22</v>
      </c>
    </row>
    <row r="81" spans="2:43" ht="12.95" customHeight="1" thickBot="1" x14ac:dyDescent="0.25">
      <c r="B81" s="1530"/>
      <c r="C81" s="1531"/>
      <c r="D81" s="1531"/>
      <c r="E81" s="1532"/>
      <c r="F81" s="1540"/>
      <c r="G81" s="1531"/>
      <c r="H81" s="1531"/>
      <c r="I81" s="1531"/>
      <c r="J81" s="1531"/>
      <c r="K81" s="1531"/>
      <c r="L81" s="1531"/>
      <c r="M81" s="1531"/>
      <c r="N81" s="1531"/>
      <c r="O81" s="1531"/>
      <c r="P81" s="1531"/>
      <c r="Q81" s="1531"/>
      <c r="R81" s="1531"/>
      <c r="S81" s="1531"/>
      <c r="T81" s="1531"/>
      <c r="U81" s="1531"/>
      <c r="V81" s="1531"/>
      <c r="W81" s="1531"/>
      <c r="X81" s="1531"/>
      <c r="Y81" s="1531"/>
      <c r="Z81" s="1531"/>
      <c r="AA81" s="1531"/>
      <c r="AB81" s="1531"/>
      <c r="AC81" s="1532"/>
      <c r="AD81" s="1224" t="str">
        <f>B81&amp;" "&amp;F81</f>
        <v xml:space="preserve"> </v>
      </c>
      <c r="AE81" s="1564"/>
      <c r="AF81" s="1565"/>
      <c r="AG81" s="1566"/>
      <c r="AH81" s="1592"/>
      <c r="AI81" s="1593"/>
      <c r="AJ81" s="1593"/>
      <c r="AK81" s="1586"/>
      <c r="AL81" s="1586"/>
      <c r="AM81" s="1587"/>
      <c r="AQ81" s="1016" t="str">
        <f t="shared" si="8"/>
        <v/>
      </c>
    </row>
  </sheetData>
  <sheetProtection password="CA39" sheet="1" objects="1" scenarios="1"/>
  <mergeCells count="433">
    <mergeCell ref="AE64:AG64"/>
    <mergeCell ref="AH64:AJ64"/>
    <mergeCell ref="B62:E62"/>
    <mergeCell ref="B63:E63"/>
    <mergeCell ref="AK64:AM64"/>
    <mergeCell ref="AE61:AG61"/>
    <mergeCell ref="AH61:AJ61"/>
    <mergeCell ref="AH62:AJ62"/>
    <mergeCell ref="F71:AC71"/>
    <mergeCell ref="AK63:AM63"/>
    <mergeCell ref="AK61:AM61"/>
    <mergeCell ref="AK62:AM62"/>
    <mergeCell ref="AE66:AG66"/>
    <mergeCell ref="AE65:AG65"/>
    <mergeCell ref="AH63:AJ63"/>
    <mergeCell ref="AH65:AJ65"/>
    <mergeCell ref="AK68:AM68"/>
    <mergeCell ref="F62:AC62"/>
    <mergeCell ref="F63:AC63"/>
    <mergeCell ref="AH66:AJ81"/>
    <mergeCell ref="AE71:AG71"/>
    <mergeCell ref="B68:E68"/>
    <mergeCell ref="F68:AC68"/>
    <mergeCell ref="AK65:AM65"/>
    <mergeCell ref="AE69:AG69"/>
    <mergeCell ref="AE68:AG68"/>
    <mergeCell ref="AK66:AM66"/>
    <mergeCell ref="AK67:AM67"/>
    <mergeCell ref="AK69:AM69"/>
    <mergeCell ref="AE67:AG67"/>
    <mergeCell ref="B81:E81"/>
    <mergeCell ref="F81:AC81"/>
    <mergeCell ref="AE81:AG81"/>
    <mergeCell ref="B80:E80"/>
    <mergeCell ref="F80:AC80"/>
    <mergeCell ref="AE80:AG80"/>
    <mergeCell ref="F72:AC72"/>
    <mergeCell ref="AE78:AG78"/>
    <mergeCell ref="B74:E74"/>
    <mergeCell ref="AK74:AM81"/>
    <mergeCell ref="B69:E69"/>
    <mergeCell ref="B66:E66"/>
    <mergeCell ref="F66:AC66"/>
    <mergeCell ref="AO71:AP71"/>
    <mergeCell ref="AO72:AP72"/>
    <mergeCell ref="AO73:AP73"/>
    <mergeCell ref="AO70:AP70"/>
    <mergeCell ref="AK70:AM70"/>
    <mergeCell ref="AK73:AM73"/>
    <mergeCell ref="AK72:AM72"/>
    <mergeCell ref="AK71:AM71"/>
    <mergeCell ref="AE79:AG79"/>
    <mergeCell ref="AE63:AG63"/>
    <mergeCell ref="B57:E57"/>
    <mergeCell ref="F57:AC57"/>
    <mergeCell ref="AE57:AG57"/>
    <mergeCell ref="AH57:AJ57"/>
    <mergeCell ref="B60:E60"/>
    <mergeCell ref="F60:AC60"/>
    <mergeCell ref="AE60:AG60"/>
    <mergeCell ref="AH60:AJ60"/>
    <mergeCell ref="B59:AM59"/>
    <mergeCell ref="AK60:AM60"/>
    <mergeCell ref="AO57:AP57"/>
    <mergeCell ref="B56:E56"/>
    <mergeCell ref="F56:AC56"/>
    <mergeCell ref="AE56:AG56"/>
    <mergeCell ref="AH56:AJ56"/>
    <mergeCell ref="AE55:AG55"/>
    <mergeCell ref="AH55:AJ55"/>
    <mergeCell ref="AO55:AP55"/>
    <mergeCell ref="AE62:AG62"/>
    <mergeCell ref="F55:AC55"/>
    <mergeCell ref="B55:E55"/>
    <mergeCell ref="B61:E61"/>
    <mergeCell ref="F61:AC61"/>
    <mergeCell ref="AO50:AP50"/>
    <mergeCell ref="AE51:AG51"/>
    <mergeCell ref="AH51:AJ51"/>
    <mergeCell ref="AO51:AP51"/>
    <mergeCell ref="AE50:AG50"/>
    <mergeCell ref="AH50:AJ50"/>
    <mergeCell ref="AE54:AG54"/>
    <mergeCell ref="AH54:AJ54"/>
    <mergeCell ref="AO56:AP56"/>
    <mergeCell ref="AO52:AP52"/>
    <mergeCell ref="AE53:AG53"/>
    <mergeCell ref="AH53:AJ53"/>
    <mergeCell ref="AO53:AP53"/>
    <mergeCell ref="AE52:AG52"/>
    <mergeCell ref="AO54:AP54"/>
    <mergeCell ref="AO49:AP49"/>
    <mergeCell ref="B48:E48"/>
    <mergeCell ref="F48:AC48"/>
    <mergeCell ref="AE48:AG48"/>
    <mergeCell ref="AH48:AJ48"/>
    <mergeCell ref="B49:E49"/>
    <mergeCell ref="F49:AC49"/>
    <mergeCell ref="AE49:AG49"/>
    <mergeCell ref="AH49:AJ49"/>
    <mergeCell ref="AO44:AP44"/>
    <mergeCell ref="AO45:AP45"/>
    <mergeCell ref="AH38:AJ38"/>
    <mergeCell ref="AO48:AP48"/>
    <mergeCell ref="AO40:AP40"/>
    <mergeCell ref="AO41:AP41"/>
    <mergeCell ref="AO42:AP42"/>
    <mergeCell ref="AO43:AP43"/>
    <mergeCell ref="AH40:AJ40"/>
    <mergeCell ref="AH41:AJ41"/>
    <mergeCell ref="AH43:AJ43"/>
    <mergeCell ref="AH44:AJ44"/>
    <mergeCell ref="AH45:AJ45"/>
    <mergeCell ref="F43:AC43"/>
    <mergeCell ref="AE45:AG45"/>
    <mergeCell ref="AE42:AG42"/>
    <mergeCell ref="AU22:AW22"/>
    <mergeCell ref="AH22:AJ22"/>
    <mergeCell ref="AO37:AP37"/>
    <mergeCell ref="AH39:AJ39"/>
    <mergeCell ref="AH37:AJ37"/>
    <mergeCell ref="AO38:AP38"/>
    <mergeCell ref="AO39:AP39"/>
    <mergeCell ref="AM23:AN23"/>
    <mergeCell ref="AM24:AN24"/>
    <mergeCell ref="AE29:AG29"/>
    <mergeCell ref="AE30:AG30"/>
    <mergeCell ref="AE28:AG28"/>
    <mergeCell ref="AE22:AG22"/>
    <mergeCell ref="AE43:AG43"/>
    <mergeCell ref="AE44:AG44"/>
    <mergeCell ref="AE31:AG31"/>
    <mergeCell ref="AE23:AG23"/>
    <mergeCell ref="AE41:AG41"/>
    <mergeCell ref="AE37:AG37"/>
    <mergeCell ref="AE38:AG38"/>
    <mergeCell ref="AE39:AG39"/>
    <mergeCell ref="AO2:BC2"/>
    <mergeCell ref="F3:Q3"/>
    <mergeCell ref="B4:E4"/>
    <mergeCell ref="B3:E3"/>
    <mergeCell ref="R4:AC4"/>
    <mergeCell ref="BA3:BC3"/>
    <mergeCell ref="BA4:BC4"/>
    <mergeCell ref="AU3:AW3"/>
    <mergeCell ref="AX3:AZ3"/>
    <mergeCell ref="AO4:AQ4"/>
    <mergeCell ref="AR3:AT3"/>
    <mergeCell ref="AO3:AQ3"/>
    <mergeCell ref="AR4:AT4"/>
    <mergeCell ref="AE3:AG3"/>
    <mergeCell ref="AH3:AJ3"/>
    <mergeCell ref="B2:AJ2"/>
    <mergeCell ref="BA5:BC5"/>
    <mergeCell ref="AE4:AG4"/>
    <mergeCell ref="AE5:AG5"/>
    <mergeCell ref="B6:E6"/>
    <mergeCell ref="R6:AC6"/>
    <mergeCell ref="F6:Q6"/>
    <mergeCell ref="AO6:AQ6"/>
    <mergeCell ref="AE6:AG6"/>
    <mergeCell ref="AH6:AJ6"/>
    <mergeCell ref="AR6:AT6"/>
    <mergeCell ref="AU4:AW4"/>
    <mergeCell ref="AX4:AZ4"/>
    <mergeCell ref="F4:Q4"/>
    <mergeCell ref="AU5:AW5"/>
    <mergeCell ref="AX5:AZ5"/>
    <mergeCell ref="AH4:AJ4"/>
    <mergeCell ref="AH5:AJ5"/>
    <mergeCell ref="B5:E5"/>
    <mergeCell ref="R5:AC5"/>
    <mergeCell ref="F5:Q5"/>
    <mergeCell ref="AO5:AQ5"/>
    <mergeCell ref="AR5:AT5"/>
    <mergeCell ref="AU6:AW6"/>
    <mergeCell ref="AX6:AZ6"/>
    <mergeCell ref="BA6:BC6"/>
    <mergeCell ref="B7:E7"/>
    <mergeCell ref="R7:AC7"/>
    <mergeCell ref="F7:Q7"/>
    <mergeCell ref="AO7:AQ7"/>
    <mergeCell ref="AE7:AG7"/>
    <mergeCell ref="AH7:AJ7"/>
    <mergeCell ref="AR7:AT7"/>
    <mergeCell ref="AU7:AW7"/>
    <mergeCell ref="AX7:AZ7"/>
    <mergeCell ref="BA7:BC7"/>
    <mergeCell ref="BA8:BC8"/>
    <mergeCell ref="B9:E9"/>
    <mergeCell ref="R9:AC9"/>
    <mergeCell ref="F9:Q9"/>
    <mergeCell ref="AO9:AQ9"/>
    <mergeCell ref="AE9:AG9"/>
    <mergeCell ref="AH9:AJ9"/>
    <mergeCell ref="AR9:AT9"/>
    <mergeCell ref="AU9:AW9"/>
    <mergeCell ref="AX9:AZ9"/>
    <mergeCell ref="BA9:BC9"/>
    <mergeCell ref="B8:E8"/>
    <mergeCell ref="R8:AC8"/>
    <mergeCell ref="F8:Q8"/>
    <mergeCell ref="AO8:AQ8"/>
    <mergeCell ref="AE8:AG8"/>
    <mergeCell ref="AH8:AJ8"/>
    <mergeCell ref="AR8:AT8"/>
    <mergeCell ref="AU8:AW8"/>
    <mergeCell ref="AX8:AZ8"/>
    <mergeCell ref="BA10:BC10"/>
    <mergeCell ref="B11:E11"/>
    <mergeCell ref="R11:AC11"/>
    <mergeCell ref="F11:Q11"/>
    <mergeCell ref="AO11:AQ11"/>
    <mergeCell ref="AE11:AG11"/>
    <mergeCell ref="AH11:AJ11"/>
    <mergeCell ref="AR11:AT11"/>
    <mergeCell ref="AU11:AW11"/>
    <mergeCell ref="AX11:AZ11"/>
    <mergeCell ref="BA11:BC11"/>
    <mergeCell ref="B10:E10"/>
    <mergeCell ref="R10:AC10"/>
    <mergeCell ref="F10:Q10"/>
    <mergeCell ref="AO10:AQ10"/>
    <mergeCell ref="AE10:AG10"/>
    <mergeCell ref="AH10:AJ10"/>
    <mergeCell ref="AR10:AT10"/>
    <mergeCell ref="AU10:AW10"/>
    <mergeCell ref="AX10:AZ10"/>
    <mergeCell ref="BA12:BC12"/>
    <mergeCell ref="B13:E13"/>
    <mergeCell ref="R13:AC13"/>
    <mergeCell ref="F13:Q13"/>
    <mergeCell ref="AO13:AQ13"/>
    <mergeCell ref="AE13:AG13"/>
    <mergeCell ref="AH13:AJ13"/>
    <mergeCell ref="AR13:AT13"/>
    <mergeCell ref="AU13:AW13"/>
    <mergeCell ref="AX13:AZ13"/>
    <mergeCell ref="BA13:BC13"/>
    <mergeCell ref="B12:E12"/>
    <mergeCell ref="R12:AC12"/>
    <mergeCell ref="F12:Q12"/>
    <mergeCell ref="AO12:AQ12"/>
    <mergeCell ref="AE12:AG12"/>
    <mergeCell ref="AH12:AJ12"/>
    <mergeCell ref="AR12:AT12"/>
    <mergeCell ref="AU12:AW12"/>
    <mergeCell ref="AX12:AZ12"/>
    <mergeCell ref="AR14:AT14"/>
    <mergeCell ref="B14:E14"/>
    <mergeCell ref="R14:AC14"/>
    <mergeCell ref="F14:Q14"/>
    <mergeCell ref="AO14:AQ14"/>
    <mergeCell ref="AE14:AG14"/>
    <mergeCell ref="AH14:AJ14"/>
    <mergeCell ref="BA15:BC15"/>
    <mergeCell ref="AU14:AW14"/>
    <mergeCell ref="AX14:AZ14"/>
    <mergeCell ref="B15:E15"/>
    <mergeCell ref="R15:AC15"/>
    <mergeCell ref="F15:Q15"/>
    <mergeCell ref="AO15:AQ15"/>
    <mergeCell ref="AE15:AG15"/>
    <mergeCell ref="BA14:BC14"/>
    <mergeCell ref="AR15:AT15"/>
    <mergeCell ref="AU15:AW15"/>
    <mergeCell ref="AX15:AZ15"/>
    <mergeCell ref="AH15:AJ15"/>
    <mergeCell ref="AU17:BI17"/>
    <mergeCell ref="B18:E18"/>
    <mergeCell ref="F18:Q18"/>
    <mergeCell ref="AU18:AW18"/>
    <mergeCell ref="AX18:AZ18"/>
    <mergeCell ref="BA18:BC18"/>
    <mergeCell ref="BD18:BF18"/>
    <mergeCell ref="BG18:BI18"/>
    <mergeCell ref="AK18:AL18"/>
    <mergeCell ref="AM18:AN18"/>
    <mergeCell ref="AE18:AG18"/>
    <mergeCell ref="AH18:AJ18"/>
    <mergeCell ref="B17:AN17"/>
    <mergeCell ref="AX19:AZ19"/>
    <mergeCell ref="BA19:BC19"/>
    <mergeCell ref="BD19:BF19"/>
    <mergeCell ref="BG19:BI19"/>
    <mergeCell ref="B19:E19"/>
    <mergeCell ref="F19:Q19"/>
    <mergeCell ref="R19:AC19"/>
    <mergeCell ref="AU19:AW19"/>
    <mergeCell ref="AH19:AJ19"/>
    <mergeCell ref="AK19:AL19"/>
    <mergeCell ref="AM19:AN19"/>
    <mergeCell ref="AE19:AG19"/>
    <mergeCell ref="AX20:AZ20"/>
    <mergeCell ref="BA20:BC20"/>
    <mergeCell ref="BD20:BF20"/>
    <mergeCell ref="BG20:BI20"/>
    <mergeCell ref="B20:E20"/>
    <mergeCell ref="F20:Q20"/>
    <mergeCell ref="R20:AC20"/>
    <mergeCell ref="AU20:AW20"/>
    <mergeCell ref="AH20:AJ20"/>
    <mergeCell ref="AK20:AL20"/>
    <mergeCell ref="AM20:AN20"/>
    <mergeCell ref="AE20:AG20"/>
    <mergeCell ref="BD21:BF21"/>
    <mergeCell ref="BG21:BI21"/>
    <mergeCell ref="B21:E21"/>
    <mergeCell ref="F21:Q21"/>
    <mergeCell ref="R21:AC21"/>
    <mergeCell ref="AU21:AW21"/>
    <mergeCell ref="AH21:AJ21"/>
    <mergeCell ref="AX21:AZ21"/>
    <mergeCell ref="BA21:BC21"/>
    <mergeCell ref="AE21:AG21"/>
    <mergeCell ref="AK21:AL21"/>
    <mergeCell ref="BD23:BF23"/>
    <mergeCell ref="BG23:BI23"/>
    <mergeCell ref="AX23:AZ23"/>
    <mergeCell ref="BD24:BF24"/>
    <mergeCell ref="BG24:BI24"/>
    <mergeCell ref="AX22:AZ22"/>
    <mergeCell ref="BA22:BC22"/>
    <mergeCell ref="BD22:BF22"/>
    <mergeCell ref="BG22:BI22"/>
    <mergeCell ref="BA23:BC23"/>
    <mergeCell ref="AE27:AG27"/>
    <mergeCell ref="AU24:AW24"/>
    <mergeCell ref="AE24:AG24"/>
    <mergeCell ref="AH24:AJ24"/>
    <mergeCell ref="AX24:AZ24"/>
    <mergeCell ref="BA24:BC24"/>
    <mergeCell ref="F23:Q23"/>
    <mergeCell ref="R23:AC23"/>
    <mergeCell ref="AU23:AW23"/>
    <mergeCell ref="AH23:AJ23"/>
    <mergeCell ref="B26:AG26"/>
    <mergeCell ref="AO36:AP36"/>
    <mergeCell ref="AE36:AG36"/>
    <mergeCell ref="AH36:AJ36"/>
    <mergeCell ref="F32:AC32"/>
    <mergeCell ref="F33:AC33"/>
    <mergeCell ref="B36:E36"/>
    <mergeCell ref="F36:AC36"/>
    <mergeCell ref="B29:E29"/>
    <mergeCell ref="B28:E28"/>
    <mergeCell ref="F28:AC28"/>
    <mergeCell ref="F29:AC29"/>
    <mergeCell ref="AE32:AG32"/>
    <mergeCell ref="AE33:AG33"/>
    <mergeCell ref="B22:E22"/>
    <mergeCell ref="F22:Q22"/>
    <mergeCell ref="R22:AC22"/>
    <mergeCell ref="B23:E23"/>
    <mergeCell ref="B24:E24"/>
    <mergeCell ref="F24:Q24"/>
    <mergeCell ref="B32:E32"/>
    <mergeCell ref="B27:E27"/>
    <mergeCell ref="F27:AC27"/>
    <mergeCell ref="R24:AC24"/>
    <mergeCell ref="B30:E30"/>
    <mergeCell ref="B31:E31"/>
    <mergeCell ref="B53:E53"/>
    <mergeCell ref="B54:E54"/>
    <mergeCell ref="F39:AC39"/>
    <mergeCell ref="F40:AC40"/>
    <mergeCell ref="B51:E51"/>
    <mergeCell ref="B52:E52"/>
    <mergeCell ref="F50:AC50"/>
    <mergeCell ref="B44:E44"/>
    <mergeCell ref="F44:AC44"/>
    <mergeCell ref="B40:E40"/>
    <mergeCell ref="B39:E39"/>
    <mergeCell ref="F45:AC45"/>
    <mergeCell ref="F41:AC41"/>
    <mergeCell ref="F51:AC51"/>
    <mergeCell ref="F52:AC52"/>
    <mergeCell ref="B47:AJ47"/>
    <mergeCell ref="B50:E50"/>
    <mergeCell ref="AH52:AJ52"/>
    <mergeCell ref="B45:E45"/>
    <mergeCell ref="F54:AC54"/>
    <mergeCell ref="B43:E43"/>
    <mergeCell ref="B41:E41"/>
    <mergeCell ref="B42:E42"/>
    <mergeCell ref="F42:AC42"/>
    <mergeCell ref="B38:E38"/>
    <mergeCell ref="B33:E33"/>
    <mergeCell ref="B35:AJ35"/>
    <mergeCell ref="F30:AC30"/>
    <mergeCell ref="F31:AC31"/>
    <mergeCell ref="F37:AC37"/>
    <mergeCell ref="F38:AC38"/>
    <mergeCell ref="B37:E37"/>
    <mergeCell ref="AH42:AJ42"/>
    <mergeCell ref="AE40:AG40"/>
    <mergeCell ref="F64:AC64"/>
    <mergeCell ref="F79:AC79"/>
    <mergeCell ref="B65:E65"/>
    <mergeCell ref="B67:E67"/>
    <mergeCell ref="B78:E78"/>
    <mergeCell ref="F78:AC78"/>
    <mergeCell ref="B70:E70"/>
    <mergeCell ref="B73:E73"/>
    <mergeCell ref="B79:E79"/>
    <mergeCell ref="F74:AC74"/>
    <mergeCell ref="B72:E72"/>
    <mergeCell ref="B75:E75"/>
    <mergeCell ref="F75:AC75"/>
    <mergeCell ref="AK22:AL22"/>
    <mergeCell ref="AK23:AL23"/>
    <mergeCell ref="AK24:AL24"/>
    <mergeCell ref="AM21:AN21"/>
    <mergeCell ref="AM22:AN22"/>
    <mergeCell ref="B77:E77"/>
    <mergeCell ref="F77:AC77"/>
    <mergeCell ref="AE77:AG77"/>
    <mergeCell ref="B71:E71"/>
    <mergeCell ref="AE73:AG73"/>
    <mergeCell ref="AE74:AG74"/>
    <mergeCell ref="B76:E76"/>
    <mergeCell ref="F76:AC76"/>
    <mergeCell ref="AE76:AG76"/>
    <mergeCell ref="AE72:AG72"/>
    <mergeCell ref="F65:AC65"/>
    <mergeCell ref="F67:AC67"/>
    <mergeCell ref="F69:AC69"/>
    <mergeCell ref="F73:AC73"/>
    <mergeCell ref="F70:AC70"/>
    <mergeCell ref="AE70:AG70"/>
    <mergeCell ref="AE75:AG75"/>
    <mergeCell ref="F53:AC53"/>
    <mergeCell ref="B64:E64"/>
  </mergeCells>
  <phoneticPr fontId="2" type="noConversion"/>
  <dataValidations count="2">
    <dataValidation type="list" allowBlank="1" showInputMessage="1" showErrorMessage="1" sqref="R4:R15" xr:uid="{00000000-0002-0000-0700-000000000000}">
      <formula1>Frame_Construction</formula1>
    </dataValidation>
    <dataValidation type="list" allowBlank="1" showInputMessage="1" showErrorMessage="1" sqref="AK71:AK73" xr:uid="{00000000-0002-0000-0700-000001000000}">
      <formula1>Group_20B</formula1>
    </dataValidation>
  </dataValidations>
  <pageMargins left="0.75" right="0.75" top="1" bottom="1" header="0.5" footer="0.5"/>
  <pageSetup orientation="portrait" horizontalDpi="4294967293" verticalDpi="300" r:id="rId1"/>
  <headerFooter alignWithMargins="0"/>
  <customProperties>
    <customPr name="SSCSheetTrackingNo"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B2:Q63"/>
  <sheetViews>
    <sheetView workbookViewId="0">
      <selection activeCell="D4" sqref="D4:G4"/>
    </sheetView>
  </sheetViews>
  <sheetFormatPr defaultColWidth="9.140625" defaultRowHeight="11.45" customHeight="1" x14ac:dyDescent="0.2"/>
  <cols>
    <col min="1" max="1" width="3.7109375" style="1" customWidth="1"/>
    <col min="2" max="2" width="15.7109375" style="2" customWidth="1"/>
    <col min="3" max="12" width="9.140625" style="2"/>
    <col min="13" max="13" width="12.7109375" style="1" customWidth="1"/>
    <col min="14" max="17" width="9.140625" style="2"/>
    <col min="18" max="16384" width="9.140625" style="1"/>
  </cols>
  <sheetData>
    <row r="2" spans="2:17" ht="11.45" customHeight="1" x14ac:dyDescent="0.2">
      <c r="B2" s="1594" t="s">
        <v>3479</v>
      </c>
      <c r="C2" s="1595"/>
      <c r="D2" s="1595"/>
      <c r="E2" s="1595"/>
      <c r="F2" s="1595"/>
      <c r="G2" s="1595"/>
      <c r="H2" s="1595"/>
      <c r="I2" s="1595"/>
      <c r="J2" s="1595"/>
      <c r="K2" s="1595"/>
      <c r="L2" s="1596"/>
    </row>
    <row r="3" spans="2:17" ht="11.45" customHeight="1" x14ac:dyDescent="0.2">
      <c r="B3" s="1597"/>
      <c r="C3" s="1598"/>
      <c r="D3" s="1598"/>
      <c r="E3" s="1598"/>
      <c r="F3" s="1598"/>
      <c r="G3" s="1598"/>
      <c r="H3" s="1598"/>
      <c r="I3" s="1598"/>
      <c r="J3" s="1598"/>
      <c r="K3" s="1598"/>
      <c r="L3" s="1599"/>
    </row>
    <row r="4" spans="2:17" ht="11.45" customHeight="1" x14ac:dyDescent="0.2">
      <c r="B4" s="3" t="s">
        <v>1873</v>
      </c>
      <c r="C4" s="4"/>
      <c r="D4" s="1604">
        <f>'Form N1'!E3</f>
        <v>0</v>
      </c>
      <c r="E4" s="1605"/>
      <c r="F4" s="1605"/>
      <c r="G4" s="1605"/>
      <c r="H4" s="1606" t="s">
        <v>988</v>
      </c>
      <c r="I4" s="1607"/>
      <c r="J4" s="5" t="s">
        <v>3480</v>
      </c>
      <c r="K4" s="5" t="s">
        <v>3481</v>
      </c>
      <c r="L4" s="5" t="s">
        <v>3482</v>
      </c>
    </row>
    <row r="5" spans="2:17" ht="11.45" customHeight="1" x14ac:dyDescent="0.2">
      <c r="B5" s="3" t="s">
        <v>1526</v>
      </c>
      <c r="C5" s="4"/>
      <c r="D5" s="1604" t="str">
        <f>'Form N1'!E5&amp;", "&amp;'Form N1'!E4</f>
        <v>Las Vegas AP, Nevada</v>
      </c>
      <c r="E5" s="1605"/>
      <c r="F5" s="1605"/>
      <c r="G5" s="1605"/>
      <c r="H5" s="1608" t="str">
        <f>'Form N1'!E6</f>
        <v>Block</v>
      </c>
      <c r="I5" s="1609"/>
      <c r="J5" s="71">
        <f>'Form N1'!M6</f>
        <v>36</v>
      </c>
      <c r="K5" s="422">
        <f>'Form N1'!J6</f>
        <v>2162</v>
      </c>
      <c r="L5" s="121">
        <f>'Form N1'!J7</f>
        <v>0.93</v>
      </c>
    </row>
    <row r="6" spans="2:17" ht="8.1" customHeight="1" x14ac:dyDescent="0.2">
      <c r="B6" s="3"/>
      <c r="C6" s="14"/>
      <c r="D6" s="14"/>
      <c r="E6" s="14"/>
      <c r="F6" s="14"/>
      <c r="G6" s="14"/>
      <c r="H6" s="14"/>
      <c r="I6" s="14"/>
      <c r="J6" s="14"/>
      <c r="K6" s="14"/>
      <c r="L6" s="4"/>
    </row>
    <row r="7" spans="2:17" ht="11.45" customHeight="1" x14ac:dyDescent="0.2">
      <c r="B7" s="1600" t="s">
        <v>1874</v>
      </c>
      <c r="C7" s="1371" t="s">
        <v>1499</v>
      </c>
      <c r="D7" s="1603"/>
      <c r="E7" s="1603"/>
      <c r="F7" s="1603"/>
      <c r="G7" s="1371" t="s">
        <v>930</v>
      </c>
      <c r="H7" s="1314"/>
      <c r="I7" s="1314"/>
      <c r="J7" s="1314"/>
      <c r="K7" s="1314"/>
      <c r="L7" s="1315"/>
    </row>
    <row r="8" spans="2:17" ht="11.45" customHeight="1" x14ac:dyDescent="0.2">
      <c r="B8" s="1601"/>
      <c r="C8" s="7" t="s">
        <v>3470</v>
      </c>
      <c r="D8" s="7" t="s">
        <v>1876</v>
      </c>
      <c r="E8" s="7" t="s">
        <v>3979</v>
      </c>
      <c r="F8" s="8" t="s">
        <v>3980</v>
      </c>
      <c r="G8" s="8" t="s">
        <v>3470</v>
      </c>
      <c r="H8" s="8" t="s">
        <v>3474</v>
      </c>
      <c r="I8" s="8" t="s">
        <v>3475</v>
      </c>
      <c r="J8" s="8" t="s">
        <v>3476</v>
      </c>
      <c r="K8" s="8" t="s">
        <v>3981</v>
      </c>
      <c r="L8" s="8" t="s">
        <v>3980</v>
      </c>
    </row>
    <row r="9" spans="2:17" ht="11.45" customHeight="1" x14ac:dyDescent="0.2">
      <c r="B9" s="1601"/>
      <c r="C9" s="9" t="s">
        <v>3471</v>
      </c>
      <c r="D9" s="9" t="s">
        <v>1497</v>
      </c>
      <c r="E9" s="9" t="s">
        <v>3472</v>
      </c>
      <c r="F9" s="10" t="s">
        <v>3473</v>
      </c>
      <c r="G9" s="9" t="s">
        <v>3471</v>
      </c>
      <c r="H9" s="9" t="s">
        <v>3471</v>
      </c>
      <c r="I9" s="9" t="s">
        <v>1497</v>
      </c>
      <c r="J9" s="9" t="s">
        <v>3472</v>
      </c>
      <c r="K9" s="9" t="s">
        <v>3477</v>
      </c>
      <c r="L9" s="9" t="s">
        <v>3473</v>
      </c>
    </row>
    <row r="10" spans="2:17" ht="11.45" customHeight="1" x14ac:dyDescent="0.2">
      <c r="B10" s="1602"/>
      <c r="C10" s="11"/>
      <c r="D10" s="11" t="s">
        <v>58</v>
      </c>
      <c r="E10" s="49" t="s">
        <v>1495</v>
      </c>
      <c r="F10" s="11" t="s">
        <v>1496</v>
      </c>
      <c r="G10" s="11"/>
      <c r="H10" s="12"/>
      <c r="I10" s="12" t="s">
        <v>1498</v>
      </c>
      <c r="J10" s="12"/>
      <c r="K10" s="12" t="s">
        <v>1503</v>
      </c>
      <c r="L10" s="12" t="s">
        <v>1500</v>
      </c>
      <c r="N10" s="185"/>
    </row>
    <row r="11" spans="2:17" ht="11.45" customHeight="1" x14ac:dyDescent="0.2">
      <c r="B11" s="13" t="s">
        <v>1875</v>
      </c>
      <c r="C11" s="71">
        <f>'Form N1'!M3</f>
        <v>70</v>
      </c>
      <c r="D11" s="955"/>
      <c r="E11" s="71"/>
      <c r="F11" s="16" t="s">
        <v>3478</v>
      </c>
      <c r="G11" s="71">
        <f>'Form N1'!M4</f>
        <v>75</v>
      </c>
      <c r="H11" s="140" t="s">
        <v>3478</v>
      </c>
      <c r="I11" s="71">
        <f>'Form N1'!M5</f>
        <v>50</v>
      </c>
      <c r="J11" s="140" t="s">
        <v>3478</v>
      </c>
      <c r="K11" s="140" t="s">
        <v>3478</v>
      </c>
      <c r="L11" s="16" t="s">
        <v>3478</v>
      </c>
      <c r="N11" s="176"/>
      <c r="O11" s="699"/>
      <c r="P11" s="699"/>
      <c r="Q11" s="699"/>
    </row>
    <row r="12" spans="2:17" ht="11.45" customHeight="1" x14ac:dyDescent="0.2">
      <c r="B12" s="13" t="s">
        <v>1494</v>
      </c>
      <c r="C12" s="71">
        <f>'Form N1'!J3</f>
        <v>30</v>
      </c>
      <c r="D12" s="142">
        <v>80</v>
      </c>
      <c r="E12" s="71"/>
      <c r="F12" s="140">
        <v>15</v>
      </c>
      <c r="G12" s="71">
        <f>'Form N1'!J4</f>
        <v>106</v>
      </c>
      <c r="H12" s="71">
        <f>'Form N1'!J5</f>
        <v>66</v>
      </c>
      <c r="I12" s="140" t="s">
        <v>3478</v>
      </c>
      <c r="J12" s="71">
        <f>'Form N1'!P5</f>
        <v>-32</v>
      </c>
      <c r="K12" s="71">
        <f>KW!C1</f>
        <v>30</v>
      </c>
      <c r="L12" s="140">
        <v>7.5</v>
      </c>
    </row>
    <row r="13" spans="2:17" ht="8.1" customHeight="1" x14ac:dyDescent="0.2">
      <c r="B13" s="3"/>
      <c r="C13" s="14"/>
      <c r="D13" s="14"/>
      <c r="E13" s="14"/>
      <c r="F13" s="14"/>
      <c r="G13" s="14"/>
      <c r="H13" s="14"/>
      <c r="I13" s="14"/>
      <c r="J13" s="14"/>
      <c r="K13" s="14"/>
      <c r="L13" s="4"/>
    </row>
    <row r="14" spans="2:17" ht="11.45" customHeight="1" x14ac:dyDescent="0.2">
      <c r="B14" s="1600" t="s">
        <v>3982</v>
      </c>
      <c r="C14" s="17" t="s">
        <v>3985</v>
      </c>
      <c r="D14" s="1414" t="s">
        <v>355</v>
      </c>
      <c r="E14" s="1419"/>
      <c r="F14" s="1419"/>
      <c r="G14" s="1419"/>
      <c r="H14" s="1419"/>
      <c r="I14" s="23" t="s">
        <v>611</v>
      </c>
      <c r="J14" s="21" t="s">
        <v>2743</v>
      </c>
      <c r="K14" s="21" t="s">
        <v>1079</v>
      </c>
      <c r="L14" s="21" t="s">
        <v>170</v>
      </c>
    </row>
    <row r="15" spans="2:17" ht="11.45" customHeight="1" x14ac:dyDescent="0.2">
      <c r="B15" s="1610"/>
      <c r="C15" s="1612" t="s">
        <v>1530</v>
      </c>
      <c r="D15" s="17" t="s">
        <v>1501</v>
      </c>
      <c r="E15" s="17" t="s">
        <v>3470</v>
      </c>
      <c r="F15" s="17" t="s">
        <v>356</v>
      </c>
      <c r="G15" s="17" t="s">
        <v>169</v>
      </c>
      <c r="H15" s="17" t="s">
        <v>1502</v>
      </c>
      <c r="I15" s="25" t="s">
        <v>2760</v>
      </c>
      <c r="J15" s="43" t="s">
        <v>2101</v>
      </c>
      <c r="K15" s="22" t="s">
        <v>1529</v>
      </c>
      <c r="L15" s="22"/>
    </row>
    <row r="16" spans="2:17" ht="11.45" customHeight="1" x14ac:dyDescent="0.2">
      <c r="B16" s="1611"/>
      <c r="C16" s="1613"/>
      <c r="D16" s="683">
        <v>0.01</v>
      </c>
      <c r="E16" s="69">
        <f>G12</f>
        <v>106</v>
      </c>
      <c r="F16" s="69">
        <f>H12</f>
        <v>66</v>
      </c>
      <c r="G16" s="141">
        <f>K12</f>
        <v>30</v>
      </c>
      <c r="H16" s="73">
        <f>J12</f>
        <v>-32</v>
      </c>
      <c r="I16" s="69">
        <f>G11</f>
        <v>75</v>
      </c>
      <c r="J16" s="22" t="s">
        <v>171</v>
      </c>
      <c r="K16" s="984">
        <f>'Form N1'!P7</f>
        <v>0.5</v>
      </c>
      <c r="L16" s="129">
        <f>KW!C49</f>
        <v>0.23</v>
      </c>
    </row>
    <row r="17" spans="2:17" ht="8.1" customHeight="1" x14ac:dyDescent="0.2">
      <c r="B17" s="25"/>
      <c r="C17" s="39"/>
      <c r="D17" s="39"/>
      <c r="E17" s="39"/>
      <c r="F17" s="39"/>
      <c r="G17" s="39"/>
      <c r="H17" s="39"/>
      <c r="I17" s="39"/>
      <c r="J17" s="39"/>
      <c r="K17" s="39"/>
      <c r="L17" s="26"/>
    </row>
    <row r="18" spans="2:17" ht="11.45" customHeight="1" x14ac:dyDescent="0.2">
      <c r="B18" s="1600" t="s">
        <v>176</v>
      </c>
      <c r="C18" s="21" t="s">
        <v>3985</v>
      </c>
      <c r="D18" s="21" t="s">
        <v>480</v>
      </c>
      <c r="E18" s="21" t="s">
        <v>170</v>
      </c>
      <c r="F18" s="1614" t="s">
        <v>1504</v>
      </c>
      <c r="G18" s="1614"/>
      <c r="H18" s="21" t="s">
        <v>173</v>
      </c>
      <c r="I18" s="21" t="s">
        <v>172</v>
      </c>
      <c r="J18" s="1633" t="s">
        <v>175</v>
      </c>
      <c r="K18" s="1634"/>
      <c r="L18" s="1635"/>
    </row>
    <row r="19" spans="2:17" ht="11.45" customHeight="1" x14ac:dyDescent="0.2">
      <c r="B19" s="1610"/>
      <c r="C19" s="22" t="s">
        <v>3470</v>
      </c>
      <c r="D19" s="22" t="s">
        <v>3477</v>
      </c>
      <c r="E19" s="22"/>
      <c r="F19" s="17" t="s">
        <v>3985</v>
      </c>
      <c r="G19" s="17" t="s">
        <v>1079</v>
      </c>
      <c r="H19" s="22" t="s">
        <v>3470</v>
      </c>
      <c r="I19" s="22" t="s">
        <v>174</v>
      </c>
      <c r="J19" s="1636"/>
      <c r="K19" s="1637"/>
      <c r="L19" s="1638"/>
      <c r="N19" s="185"/>
    </row>
    <row r="20" spans="2:17" ht="11.45" customHeight="1" x14ac:dyDescent="0.2">
      <c r="B20" s="1611"/>
      <c r="C20" s="140">
        <f>E16</f>
        <v>106</v>
      </c>
      <c r="D20" s="142">
        <f>K12</f>
        <v>30</v>
      </c>
      <c r="E20" s="128">
        <f>L16</f>
        <v>0.23</v>
      </c>
      <c r="F20" s="16" t="str">
        <f>C15</f>
        <v>Jul &amp; Aug</v>
      </c>
      <c r="G20" s="128">
        <f>K16</f>
        <v>0.5</v>
      </c>
      <c r="H20" s="16">
        <f>C20-G16*L16</f>
        <v>99.1</v>
      </c>
      <c r="I20" s="140">
        <f>H16</f>
        <v>-32</v>
      </c>
      <c r="J20" s="27"/>
      <c r="K20" s="29"/>
      <c r="L20" s="28"/>
      <c r="N20" s="176"/>
      <c r="O20" s="699"/>
      <c r="P20" s="699"/>
      <c r="Q20" s="699"/>
    </row>
    <row r="21" spans="2:17" ht="8.1" customHeight="1" x14ac:dyDescent="0.2">
      <c r="B21" s="25"/>
      <c r="C21" s="39"/>
      <c r="D21" s="39"/>
      <c r="E21" s="39"/>
      <c r="F21" s="39"/>
      <c r="G21" s="39"/>
      <c r="H21" s="39"/>
      <c r="I21" s="39"/>
      <c r="J21" s="39"/>
      <c r="K21" s="39"/>
      <c r="L21" s="26"/>
    </row>
    <row r="22" spans="2:17" ht="11.45" customHeight="1" x14ac:dyDescent="0.2">
      <c r="B22" s="1600" t="s">
        <v>613</v>
      </c>
      <c r="C22" s="1414" t="s">
        <v>3983</v>
      </c>
      <c r="D22" s="1419"/>
      <c r="E22" s="1419"/>
      <c r="F22" s="1415"/>
      <c r="G22" s="30"/>
      <c r="H22" s="31"/>
      <c r="I22" s="1414" t="s">
        <v>3984</v>
      </c>
      <c r="J22" s="1419"/>
      <c r="K22" s="1419"/>
      <c r="L22" s="1415"/>
      <c r="M22" s="2"/>
    </row>
    <row r="23" spans="2:17" ht="11.45" customHeight="1" x14ac:dyDescent="0.2">
      <c r="B23" s="1601"/>
      <c r="C23" s="1620" t="s">
        <v>177</v>
      </c>
      <c r="D23" s="1620"/>
      <c r="E23" s="1620" t="s">
        <v>178</v>
      </c>
      <c r="F23" s="1620"/>
      <c r="G23" s="32"/>
      <c r="H23" s="33"/>
      <c r="I23" s="1639" t="s">
        <v>177</v>
      </c>
      <c r="J23" s="1620"/>
      <c r="K23" s="21" t="s">
        <v>3476</v>
      </c>
      <c r="L23" s="21" t="s">
        <v>480</v>
      </c>
      <c r="M23" s="2"/>
    </row>
    <row r="24" spans="2:17" ht="11.45" customHeight="1" x14ac:dyDescent="0.2">
      <c r="B24" s="1601"/>
      <c r="C24" s="1621"/>
      <c r="D24" s="1621"/>
      <c r="E24" s="1621"/>
      <c r="F24" s="1621"/>
      <c r="G24" s="32"/>
      <c r="H24" s="33"/>
      <c r="I24" s="1640"/>
      <c r="J24" s="1641"/>
      <c r="K24" s="22" t="s">
        <v>3472</v>
      </c>
      <c r="L24" s="22" t="s">
        <v>609</v>
      </c>
      <c r="M24" s="2"/>
    </row>
    <row r="25" spans="2:17" ht="11.45" customHeight="1" x14ac:dyDescent="0.2">
      <c r="B25" s="1601"/>
      <c r="C25" s="17" t="s">
        <v>179</v>
      </c>
      <c r="D25" s="140">
        <f>C11</f>
        <v>70</v>
      </c>
      <c r="E25" s="5" t="s">
        <v>605</v>
      </c>
      <c r="F25" s="140">
        <f>E11</f>
        <v>0</v>
      </c>
      <c r="G25" s="32"/>
      <c r="H25" s="33"/>
      <c r="I25" s="20" t="s">
        <v>610</v>
      </c>
      <c r="J25" s="744">
        <f>H20</f>
        <v>99.1</v>
      </c>
      <c r="K25" s="1346">
        <f>H16</f>
        <v>-32</v>
      </c>
      <c r="L25" s="1346">
        <f>D20</f>
        <v>30</v>
      </c>
      <c r="M25" s="2"/>
    </row>
    <row r="26" spans="2:17" ht="11.45" customHeight="1" x14ac:dyDescent="0.2">
      <c r="B26" s="1601"/>
      <c r="C26" s="17" t="s">
        <v>180</v>
      </c>
      <c r="D26" s="140">
        <f>C12</f>
        <v>30</v>
      </c>
      <c r="E26" s="5" t="s">
        <v>606</v>
      </c>
      <c r="F26" s="140">
        <f>E12</f>
        <v>0</v>
      </c>
      <c r="G26" s="32"/>
      <c r="H26" s="33"/>
      <c r="I26" s="20" t="s">
        <v>611</v>
      </c>
      <c r="J26" s="140">
        <f>I16</f>
        <v>75</v>
      </c>
      <c r="K26" s="1642"/>
      <c r="L26" s="1642"/>
      <c r="M26" s="2"/>
    </row>
    <row r="27" spans="2:17" ht="11.45" customHeight="1" x14ac:dyDescent="0.2">
      <c r="B27" s="1602"/>
      <c r="C27" s="17" t="s">
        <v>604</v>
      </c>
      <c r="D27" s="140">
        <f>D25-D26</f>
        <v>40</v>
      </c>
      <c r="E27" s="17" t="s">
        <v>607</v>
      </c>
      <c r="F27" s="140">
        <f>F25-F26</f>
        <v>0</v>
      </c>
      <c r="G27" s="34"/>
      <c r="H27" s="35"/>
      <c r="I27" s="20" t="s">
        <v>612</v>
      </c>
      <c r="J27" s="140">
        <f>J25-J26</f>
        <v>24.099999999999994</v>
      </c>
      <c r="K27" s="1643"/>
      <c r="L27" s="1643"/>
      <c r="M27" s="2"/>
    </row>
    <row r="28" spans="2:17" ht="8.1" customHeight="1" x14ac:dyDescent="0.2">
      <c r="B28" s="25"/>
      <c r="C28" s="39"/>
      <c r="D28" s="39"/>
      <c r="E28" s="39"/>
      <c r="F28" s="39"/>
      <c r="G28" s="39"/>
      <c r="H28" s="39"/>
      <c r="I28" s="39"/>
      <c r="J28" s="39"/>
      <c r="K28" s="39"/>
      <c r="L28" s="26"/>
      <c r="M28" s="2"/>
    </row>
    <row r="29" spans="2:17" ht="11.45" customHeight="1" x14ac:dyDescent="0.2">
      <c r="B29" s="36" t="s">
        <v>614</v>
      </c>
      <c r="C29" s="37"/>
      <c r="D29" s="37"/>
      <c r="E29" s="37"/>
      <c r="F29" s="37"/>
      <c r="G29" s="37"/>
      <c r="H29" s="37"/>
      <c r="I29" s="37"/>
      <c r="J29" s="37"/>
      <c r="K29" s="37"/>
      <c r="L29" s="24"/>
    </row>
    <row r="30" spans="2:17" ht="11.45" customHeight="1" x14ac:dyDescent="0.2">
      <c r="B30" s="38" t="s">
        <v>615</v>
      </c>
      <c r="C30" s="39"/>
      <c r="D30" s="39"/>
      <c r="E30" s="39"/>
      <c r="F30" s="39"/>
      <c r="G30" s="39"/>
      <c r="H30" s="39"/>
      <c r="I30" s="39"/>
      <c r="J30" s="39"/>
      <c r="K30" s="39"/>
      <c r="L30" s="26"/>
    </row>
    <row r="31" spans="2:17" ht="11.45" customHeight="1" x14ac:dyDescent="0.2">
      <c r="B31" s="38" t="s">
        <v>479</v>
      </c>
      <c r="C31" s="39"/>
      <c r="D31" s="39"/>
      <c r="E31" s="39"/>
      <c r="F31" s="39"/>
      <c r="G31" s="39"/>
      <c r="H31" s="39"/>
      <c r="I31" s="39"/>
      <c r="J31" s="39"/>
      <c r="K31" s="39"/>
      <c r="L31" s="26"/>
    </row>
    <row r="32" spans="2:17" ht="11.45" customHeight="1" x14ac:dyDescent="0.2">
      <c r="B32" s="38" t="s">
        <v>616</v>
      </c>
      <c r="C32" s="39"/>
      <c r="D32" s="39"/>
      <c r="E32" s="39"/>
      <c r="F32" s="39"/>
      <c r="G32" s="39"/>
      <c r="H32" s="39"/>
      <c r="I32" s="39"/>
      <c r="J32" s="39"/>
      <c r="K32" s="39"/>
      <c r="L32" s="26"/>
    </row>
    <row r="33" spans="2:17" ht="11.45" customHeight="1" x14ac:dyDescent="0.2">
      <c r="B33" s="38" t="s">
        <v>477</v>
      </c>
      <c r="C33" s="39"/>
      <c r="D33" s="39"/>
      <c r="E33" s="39"/>
      <c r="F33" s="39"/>
      <c r="G33" s="39"/>
      <c r="H33" s="39"/>
      <c r="I33" s="39"/>
      <c r="J33" s="39"/>
      <c r="K33" s="39"/>
      <c r="L33" s="26"/>
    </row>
    <row r="34" spans="2:17" ht="11.45" customHeight="1" x14ac:dyDescent="0.2">
      <c r="B34" s="40" t="s">
        <v>478</v>
      </c>
      <c r="C34" s="29"/>
      <c r="D34" s="29"/>
      <c r="E34" s="29"/>
      <c r="F34" s="29"/>
      <c r="G34" s="29"/>
      <c r="H34" s="29"/>
      <c r="I34" s="29"/>
      <c r="J34" s="29"/>
      <c r="K34" s="29"/>
      <c r="L34" s="28"/>
    </row>
    <row r="37" spans="2:17" ht="11.45" customHeight="1" x14ac:dyDescent="0.2">
      <c r="B37" s="743" t="s">
        <v>171</v>
      </c>
      <c r="C37" s="1622" t="s">
        <v>3514</v>
      </c>
      <c r="D37" s="1616"/>
      <c r="E37" s="1616"/>
      <c r="F37" s="1616"/>
      <c r="G37" s="1616"/>
      <c r="H37" s="1616"/>
      <c r="I37" s="1616"/>
      <c r="J37" s="1616"/>
      <c r="K37" s="1616"/>
      <c r="L37" s="1360"/>
      <c r="M37" s="743"/>
      <c r="N37" s="1615" t="s">
        <v>3958</v>
      </c>
      <c r="O37" s="1616"/>
      <c r="P37" s="1616"/>
      <c r="Q37" s="1360"/>
    </row>
    <row r="38" spans="2:17" ht="11.45" customHeight="1" x14ac:dyDescent="0.2">
      <c r="C38" s="1623" t="s">
        <v>3515</v>
      </c>
      <c r="D38" s="1624"/>
      <c r="E38" s="1624"/>
      <c r="F38" s="1624"/>
      <c r="G38" s="1624"/>
      <c r="H38" s="1624"/>
      <c r="I38" s="1624"/>
      <c r="J38" s="1624"/>
      <c r="K38" s="1624"/>
      <c r="L38" s="1362"/>
      <c r="N38" s="1617" t="s">
        <v>3955</v>
      </c>
      <c r="O38" s="1618"/>
      <c r="P38" s="1618"/>
      <c r="Q38" s="1619"/>
    </row>
    <row r="39" spans="2:17" ht="8.1" customHeight="1" x14ac:dyDescent="0.2">
      <c r="C39" s="18"/>
      <c r="D39" s="19"/>
      <c r="E39" s="19"/>
      <c r="F39" s="19"/>
      <c r="G39" s="19"/>
      <c r="H39" s="19"/>
      <c r="I39" s="19"/>
      <c r="J39" s="19"/>
      <c r="K39" s="19"/>
      <c r="L39" s="20"/>
      <c r="N39" s="27"/>
      <c r="O39" s="29"/>
      <c r="P39" s="29"/>
      <c r="Q39" s="28"/>
    </row>
    <row r="40" spans="2:17" ht="11.45" customHeight="1" x14ac:dyDescent="0.2">
      <c r="C40" s="43" t="s">
        <v>3510</v>
      </c>
      <c r="D40" s="43" t="s">
        <v>3510</v>
      </c>
      <c r="E40" s="43" t="s">
        <v>2101</v>
      </c>
      <c r="F40" s="39"/>
      <c r="G40" s="43" t="s">
        <v>3510</v>
      </c>
      <c r="H40" s="43" t="s">
        <v>3510</v>
      </c>
      <c r="I40" s="43" t="s">
        <v>2101</v>
      </c>
      <c r="J40" s="39"/>
      <c r="K40" s="1617" t="s">
        <v>1492</v>
      </c>
      <c r="L40" s="1632"/>
      <c r="N40" s="23"/>
      <c r="O40" s="37"/>
      <c r="P40" s="37"/>
      <c r="Q40" s="24"/>
    </row>
    <row r="41" spans="2:17" ht="11.45" customHeight="1" x14ac:dyDescent="0.2">
      <c r="C41" s="43" t="s">
        <v>3511</v>
      </c>
      <c r="D41" s="43" t="s">
        <v>3511</v>
      </c>
      <c r="E41" s="43" t="s">
        <v>3513</v>
      </c>
      <c r="F41" s="39"/>
      <c r="G41" s="43" t="s">
        <v>3511</v>
      </c>
      <c r="H41" s="43" t="s">
        <v>3511</v>
      </c>
      <c r="I41" s="43" t="s">
        <v>3513</v>
      </c>
      <c r="J41" s="39"/>
      <c r="K41" s="1617" t="s">
        <v>3476</v>
      </c>
      <c r="L41" s="1632"/>
      <c r="N41" s="38" t="s">
        <v>68</v>
      </c>
      <c r="O41" s="39"/>
      <c r="P41" s="39"/>
      <c r="Q41" s="26"/>
    </row>
    <row r="42" spans="2:17" ht="11.45" customHeight="1" x14ac:dyDescent="0.2">
      <c r="C42" s="22"/>
      <c r="D42" s="22" t="s">
        <v>3512</v>
      </c>
      <c r="E42" s="22" t="s">
        <v>170</v>
      </c>
      <c r="F42" s="39"/>
      <c r="G42" s="22"/>
      <c r="H42" s="22" t="s">
        <v>3512</v>
      </c>
      <c r="I42" s="22" t="s">
        <v>170</v>
      </c>
      <c r="J42" s="39"/>
      <c r="K42" s="1623" t="s">
        <v>3472</v>
      </c>
      <c r="L42" s="1625"/>
      <c r="N42" s="38" t="s">
        <v>3954</v>
      </c>
      <c r="O42" s="39"/>
      <c r="P42" s="39"/>
      <c r="Q42" s="26"/>
    </row>
    <row r="43" spans="2:17" ht="8.1" customHeight="1" x14ac:dyDescent="0.2">
      <c r="C43" s="25"/>
      <c r="D43" s="39"/>
      <c r="E43" s="39"/>
      <c r="F43" s="43"/>
      <c r="G43" s="39"/>
      <c r="H43" s="39"/>
      <c r="I43" s="39"/>
      <c r="J43" s="43"/>
      <c r="K43" s="39"/>
      <c r="L43" s="26"/>
      <c r="N43" s="27"/>
      <c r="O43" s="29"/>
      <c r="P43" s="29"/>
      <c r="Q43" s="28"/>
    </row>
    <row r="44" spans="2:17" ht="11.45" customHeight="1" x14ac:dyDescent="0.2">
      <c r="C44" s="137">
        <v>1</v>
      </c>
      <c r="D44" s="139">
        <v>4.1666666666666664E-2</v>
      </c>
      <c r="E44" s="67">
        <v>0.87</v>
      </c>
      <c r="F44" s="39"/>
      <c r="G44" s="137">
        <v>13</v>
      </c>
      <c r="H44" s="139">
        <v>0.54166666666666663</v>
      </c>
      <c r="I44" s="67">
        <v>0.11</v>
      </c>
      <c r="J44" s="39"/>
      <c r="K44" s="1626" t="s">
        <v>1493</v>
      </c>
      <c r="L44" s="1627"/>
      <c r="N44" s="17" t="s">
        <v>2756</v>
      </c>
      <c r="O44" s="17" t="s">
        <v>3482</v>
      </c>
      <c r="P44" s="17" t="s">
        <v>2756</v>
      </c>
      <c r="Q44" s="17" t="s">
        <v>3482</v>
      </c>
    </row>
    <row r="45" spans="2:17" ht="11.45" customHeight="1" x14ac:dyDescent="0.2">
      <c r="C45" s="137">
        <v>2</v>
      </c>
      <c r="D45" s="139">
        <v>8.3333333333333329E-2</v>
      </c>
      <c r="E45" s="67">
        <v>0.92</v>
      </c>
      <c r="F45" s="39"/>
      <c r="G45" s="137">
        <v>14</v>
      </c>
      <c r="H45" s="139">
        <v>0.58333333333333337</v>
      </c>
      <c r="I45" s="67">
        <v>0.03</v>
      </c>
      <c r="J45" s="39"/>
      <c r="K45" s="1628"/>
      <c r="L45" s="1629"/>
      <c r="N45" s="17" t="s">
        <v>67</v>
      </c>
      <c r="O45" s="67">
        <v>1</v>
      </c>
      <c r="P45" s="285">
        <v>6000</v>
      </c>
      <c r="Q45" s="67">
        <v>0.8</v>
      </c>
    </row>
    <row r="46" spans="2:17" ht="11.45" customHeight="1" x14ac:dyDescent="0.2">
      <c r="C46" s="137">
        <v>3</v>
      </c>
      <c r="D46" s="139">
        <v>0.125</v>
      </c>
      <c r="E46" s="67">
        <v>0.96</v>
      </c>
      <c r="F46" s="39"/>
      <c r="G46" s="137">
        <v>15</v>
      </c>
      <c r="H46" s="139">
        <v>0.625</v>
      </c>
      <c r="I46" s="67">
        <v>0</v>
      </c>
      <c r="J46" s="39"/>
      <c r="K46" s="1628"/>
      <c r="L46" s="1629"/>
      <c r="N46" s="285">
        <v>1000</v>
      </c>
      <c r="O46" s="67">
        <v>0.97</v>
      </c>
      <c r="P46" s="285">
        <v>7000</v>
      </c>
      <c r="Q46" s="67">
        <v>0.77</v>
      </c>
    </row>
    <row r="47" spans="2:17" ht="11.45" customHeight="1" x14ac:dyDescent="0.2">
      <c r="C47" s="137">
        <v>4</v>
      </c>
      <c r="D47" s="139">
        <v>0.16666666666666666</v>
      </c>
      <c r="E47" s="67">
        <v>0.99</v>
      </c>
      <c r="F47" s="39"/>
      <c r="G47" s="137">
        <v>16</v>
      </c>
      <c r="H47" s="139">
        <v>0.66666666666666663</v>
      </c>
      <c r="I47" s="67">
        <v>0.03</v>
      </c>
      <c r="J47" s="39"/>
      <c r="K47" s="1628"/>
      <c r="L47" s="1629"/>
      <c r="N47" s="285">
        <v>2000</v>
      </c>
      <c r="O47" s="67">
        <v>0.93</v>
      </c>
      <c r="P47" s="285">
        <v>8000</v>
      </c>
      <c r="Q47" s="67">
        <v>0.75</v>
      </c>
    </row>
    <row r="48" spans="2:17" ht="11.45" customHeight="1" x14ac:dyDescent="0.2">
      <c r="C48" s="137">
        <v>5</v>
      </c>
      <c r="D48" s="139">
        <v>0.20833333333333334</v>
      </c>
      <c r="E48" s="67">
        <v>1</v>
      </c>
      <c r="F48" s="39"/>
      <c r="G48" s="137">
        <v>17</v>
      </c>
      <c r="H48" s="139">
        <v>0.70833333333333337</v>
      </c>
      <c r="I48" s="67">
        <v>0.1</v>
      </c>
      <c r="J48" s="39"/>
      <c r="K48" s="1628"/>
      <c r="L48" s="1629"/>
      <c r="N48" s="285">
        <v>3000</v>
      </c>
      <c r="O48" s="67">
        <v>0.89</v>
      </c>
      <c r="P48" s="285">
        <v>9000</v>
      </c>
      <c r="Q48" s="67">
        <v>0.72</v>
      </c>
    </row>
    <row r="49" spans="3:17" ht="11.45" customHeight="1" x14ac:dyDescent="0.2">
      <c r="C49" s="137">
        <v>6</v>
      </c>
      <c r="D49" s="139">
        <v>0.25</v>
      </c>
      <c r="E49" s="67">
        <v>0.98</v>
      </c>
      <c r="F49" s="39"/>
      <c r="G49" s="137">
        <v>18</v>
      </c>
      <c r="H49" s="139">
        <v>0.75</v>
      </c>
      <c r="I49" s="67">
        <v>0.21</v>
      </c>
      <c r="J49" s="39"/>
      <c r="K49" s="1628"/>
      <c r="L49" s="1629"/>
      <c r="N49" s="285">
        <v>4000</v>
      </c>
      <c r="O49" s="67">
        <v>0.87</v>
      </c>
      <c r="P49" s="285">
        <v>10000</v>
      </c>
      <c r="Q49" s="67">
        <v>0.69</v>
      </c>
    </row>
    <row r="50" spans="3:17" ht="11.45" customHeight="1" x14ac:dyDescent="0.2">
      <c r="C50" s="137">
        <v>7</v>
      </c>
      <c r="D50" s="139">
        <v>0.29166666666666669</v>
      </c>
      <c r="E50" s="67">
        <v>0.93</v>
      </c>
      <c r="F50" s="39"/>
      <c r="G50" s="137">
        <v>19</v>
      </c>
      <c r="H50" s="139">
        <v>0.79166666666666663</v>
      </c>
      <c r="I50" s="67">
        <v>0.34</v>
      </c>
      <c r="J50" s="39"/>
      <c r="K50" s="1628"/>
      <c r="L50" s="1629"/>
      <c r="N50" s="285">
        <v>5000</v>
      </c>
      <c r="O50" s="67">
        <v>0.84</v>
      </c>
      <c r="P50" s="285">
        <v>12000</v>
      </c>
      <c r="Q50" s="67">
        <v>0.63</v>
      </c>
    </row>
    <row r="51" spans="3:17" ht="11.45" customHeight="1" x14ac:dyDescent="0.2">
      <c r="C51" s="137">
        <v>8</v>
      </c>
      <c r="D51" s="139">
        <v>0.33333333333333331</v>
      </c>
      <c r="E51" s="67">
        <v>0.84</v>
      </c>
      <c r="F51" s="39"/>
      <c r="G51" s="137">
        <v>20</v>
      </c>
      <c r="H51" s="139">
        <v>0.83333333333333337</v>
      </c>
      <c r="I51" s="67">
        <v>0.47</v>
      </c>
      <c r="J51" s="39"/>
      <c r="K51" s="1628"/>
      <c r="L51" s="1629"/>
    </row>
    <row r="52" spans="3:17" ht="11.45" customHeight="1" x14ac:dyDescent="0.2">
      <c r="C52" s="137">
        <v>9</v>
      </c>
      <c r="D52" s="139">
        <v>0.375</v>
      </c>
      <c r="E52" s="67">
        <v>0.71</v>
      </c>
      <c r="F52" s="39"/>
      <c r="G52" s="137">
        <v>21</v>
      </c>
      <c r="H52" s="139">
        <v>0.875</v>
      </c>
      <c r="I52" s="67">
        <v>0.57999999999999996</v>
      </c>
      <c r="J52" s="39"/>
      <c r="K52" s="1628"/>
      <c r="L52" s="1629"/>
    </row>
    <row r="53" spans="3:17" ht="11.45" customHeight="1" x14ac:dyDescent="0.2">
      <c r="C53" s="137">
        <v>10</v>
      </c>
      <c r="D53" s="139">
        <v>0.41666666666666669</v>
      </c>
      <c r="E53" s="67">
        <v>0.56000000000000005</v>
      </c>
      <c r="F53" s="39"/>
      <c r="G53" s="137">
        <v>22</v>
      </c>
      <c r="H53" s="139">
        <v>0.91666666666666663</v>
      </c>
      <c r="I53" s="67">
        <v>0.68</v>
      </c>
      <c r="J53" s="39"/>
      <c r="K53" s="1628"/>
      <c r="L53" s="1629"/>
    </row>
    <row r="54" spans="3:17" ht="11.45" customHeight="1" x14ac:dyDescent="0.2">
      <c r="C54" s="137">
        <v>11</v>
      </c>
      <c r="D54" s="139">
        <v>0.45833333333333331</v>
      </c>
      <c r="E54" s="67">
        <v>0.39</v>
      </c>
      <c r="F54" s="39"/>
      <c r="G54" s="137">
        <v>23</v>
      </c>
      <c r="H54" s="139">
        <v>0.95833333333333337</v>
      </c>
      <c r="I54" s="67">
        <v>0.76</v>
      </c>
      <c r="J54" s="39"/>
      <c r="K54" s="1628"/>
      <c r="L54" s="1629"/>
    </row>
    <row r="55" spans="3:17" ht="11.45" customHeight="1" x14ac:dyDescent="0.2">
      <c r="C55" s="137">
        <v>12</v>
      </c>
      <c r="D55" s="17" t="s">
        <v>61</v>
      </c>
      <c r="E55" s="67">
        <v>0.23</v>
      </c>
      <c r="F55" s="22"/>
      <c r="G55" s="137">
        <v>24</v>
      </c>
      <c r="H55" s="17" t="s">
        <v>3509</v>
      </c>
      <c r="I55" s="67">
        <v>0.82</v>
      </c>
      <c r="J55" s="29"/>
      <c r="K55" s="1630"/>
      <c r="L55" s="1631"/>
    </row>
    <row r="56" spans="3:17" ht="8.1" customHeight="1" x14ac:dyDescent="0.2">
      <c r="C56" s="25"/>
      <c r="D56" s="39"/>
      <c r="E56" s="39"/>
      <c r="F56" s="39"/>
      <c r="G56" s="39"/>
      <c r="H56" s="39"/>
      <c r="I56" s="39"/>
      <c r="J56" s="39"/>
      <c r="K56" s="39"/>
      <c r="L56" s="26"/>
    </row>
    <row r="57" spans="3:17" ht="11.45" customHeight="1" x14ac:dyDescent="0.2">
      <c r="C57" s="38" t="s">
        <v>3516</v>
      </c>
      <c r="D57" s="60"/>
      <c r="E57" s="39"/>
      <c r="F57" s="39"/>
      <c r="G57" s="39"/>
      <c r="H57" s="39"/>
      <c r="I57" s="39"/>
      <c r="J57" s="39"/>
      <c r="K57" s="39"/>
      <c r="L57" s="26"/>
    </row>
    <row r="58" spans="3:17" ht="11.45" customHeight="1" x14ac:dyDescent="0.2">
      <c r="C58" s="38" t="s">
        <v>3957</v>
      </c>
      <c r="D58" s="39"/>
      <c r="E58" s="39"/>
      <c r="F58" s="39"/>
      <c r="G58" s="39"/>
      <c r="H58" s="39"/>
      <c r="I58" s="39"/>
      <c r="J58" s="39"/>
      <c r="K58" s="39"/>
      <c r="L58" s="26"/>
    </row>
    <row r="59" spans="3:17" ht="11.45" customHeight="1" x14ac:dyDescent="0.2">
      <c r="C59" s="38" t="s">
        <v>3517</v>
      </c>
      <c r="D59" s="39"/>
      <c r="E59" s="39"/>
      <c r="F59" s="39"/>
      <c r="G59" s="39"/>
      <c r="H59" s="39"/>
      <c r="I59" s="39"/>
      <c r="J59" s="39"/>
      <c r="K59" s="39"/>
      <c r="L59" s="26"/>
    </row>
    <row r="60" spans="3:17" ht="11.45" customHeight="1" x14ac:dyDescent="0.2">
      <c r="C60" s="38" t="s">
        <v>3518</v>
      </c>
      <c r="D60" s="39"/>
      <c r="E60" s="39"/>
      <c r="F60" s="39"/>
      <c r="G60" s="39"/>
      <c r="H60" s="39"/>
      <c r="I60" s="39"/>
      <c r="J60" s="39"/>
      <c r="K60" s="39"/>
      <c r="L60" s="26"/>
    </row>
    <row r="61" spans="3:17" ht="11.45" customHeight="1" x14ac:dyDescent="0.2">
      <c r="C61" s="38" t="s">
        <v>3519</v>
      </c>
      <c r="D61" s="39"/>
      <c r="E61" s="39"/>
      <c r="F61" s="39"/>
      <c r="G61" s="39"/>
      <c r="H61" s="39"/>
      <c r="I61" s="39"/>
      <c r="J61" s="39"/>
      <c r="K61" s="39"/>
      <c r="L61" s="26"/>
    </row>
    <row r="62" spans="3:17" ht="11.45" customHeight="1" x14ac:dyDescent="0.2">
      <c r="C62" s="40" t="s">
        <v>1491</v>
      </c>
      <c r="D62" s="29"/>
      <c r="E62" s="29"/>
      <c r="F62" s="29"/>
      <c r="G62" s="29"/>
      <c r="H62" s="29"/>
      <c r="I62" s="29"/>
      <c r="J62" s="29"/>
      <c r="K62" s="29"/>
      <c r="L62" s="28"/>
    </row>
    <row r="63" spans="3:17" ht="11.45" customHeight="1" x14ac:dyDescent="0.2">
      <c r="C63" s="41"/>
      <c r="D63" s="41"/>
    </row>
  </sheetData>
  <mergeCells count="30">
    <mergeCell ref="K42:L42"/>
    <mergeCell ref="K44:L55"/>
    <mergeCell ref="K40:L40"/>
    <mergeCell ref="K41:L41"/>
    <mergeCell ref="J18:L19"/>
    <mergeCell ref="I23:J24"/>
    <mergeCell ref="K25:K27"/>
    <mergeCell ref="L25:L27"/>
    <mergeCell ref="N37:Q37"/>
    <mergeCell ref="N38:Q38"/>
    <mergeCell ref="B22:B27"/>
    <mergeCell ref="C23:D24"/>
    <mergeCell ref="C22:F22"/>
    <mergeCell ref="I22:L22"/>
    <mergeCell ref="C37:L37"/>
    <mergeCell ref="C38:L38"/>
    <mergeCell ref="E23:F24"/>
    <mergeCell ref="B18:B20"/>
    <mergeCell ref="B14:B16"/>
    <mergeCell ref="D14:H14"/>
    <mergeCell ref="C15:C16"/>
    <mergeCell ref="F18:G18"/>
    <mergeCell ref="B2:L3"/>
    <mergeCell ref="B7:B10"/>
    <mergeCell ref="C7:F7"/>
    <mergeCell ref="G7:L7"/>
    <mergeCell ref="D4:G4"/>
    <mergeCell ref="D5:G5"/>
    <mergeCell ref="H4:I4"/>
    <mergeCell ref="H5:I5"/>
  </mergeCells>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69</vt:i4>
      </vt:variant>
    </vt:vector>
  </HeadingPairs>
  <TitlesOfParts>
    <vt:vector size="107" baseType="lpstr">
      <vt:lpstr>KW</vt:lpstr>
      <vt:lpstr>Cities</vt:lpstr>
      <vt:lpstr>Wrk D</vt:lpstr>
      <vt:lpstr>Welcome</vt:lpstr>
      <vt:lpstr>Help</vt:lpstr>
      <vt:lpstr>Read Me</vt:lpstr>
      <vt:lpstr>Form N1</vt:lpstr>
      <vt:lpstr>Database</vt:lpstr>
      <vt:lpstr>Wrk A</vt:lpstr>
      <vt:lpstr>Wrk C</vt:lpstr>
      <vt:lpstr>GlassI</vt:lpstr>
      <vt:lpstr>Wrk B</vt:lpstr>
      <vt:lpstr>SkylightI</vt:lpstr>
      <vt:lpstr>DoorI</vt:lpstr>
      <vt:lpstr>WallI</vt:lpstr>
      <vt:lpstr>CeilingI</vt:lpstr>
      <vt:lpstr>FloorI</vt:lpstr>
      <vt:lpstr>InternalI</vt:lpstr>
      <vt:lpstr>DuctsI</vt:lpstr>
      <vt:lpstr>InfiltrationI</vt:lpstr>
      <vt:lpstr>DuctsT</vt:lpstr>
      <vt:lpstr>Wrk G</vt:lpstr>
      <vt:lpstr>VentilationI</vt:lpstr>
      <vt:lpstr>Notes</vt:lpstr>
      <vt:lpstr>Comments</vt:lpstr>
      <vt:lpstr>Wrk E</vt:lpstr>
      <vt:lpstr>Wrk F</vt:lpstr>
      <vt:lpstr>D2</vt:lpstr>
      <vt:lpstr>D3</vt:lpstr>
      <vt:lpstr>DAC-1</vt:lpstr>
      <vt:lpstr>DAC-2</vt:lpstr>
      <vt:lpstr>DAC-3</vt:lpstr>
      <vt:lpstr>RAP-1</vt:lpstr>
      <vt:lpstr>RAP-2</vt:lpstr>
      <vt:lpstr>RAP-3</vt:lpstr>
      <vt:lpstr>Tbl 7-AMB</vt:lpstr>
      <vt:lpstr> Wrk H</vt:lpstr>
      <vt:lpstr> Wrk I</vt:lpstr>
      <vt:lpstr>_TR2</vt:lpstr>
      <vt:lpstr>Activity</vt:lpstr>
      <vt:lpstr>Blower</vt:lpstr>
      <vt:lpstr>Ceilings_Data2</vt:lpstr>
      <vt:lpstr>Ceilings_Information</vt:lpstr>
      <vt:lpstr>CFM_Person</vt:lpstr>
      <vt:lpstr>city</vt:lpstr>
      <vt:lpstr>Color_Adjust_Wall</vt:lpstr>
      <vt:lpstr>Construction_Weight</vt:lpstr>
      <vt:lpstr>Daily_Range</vt:lpstr>
      <vt:lpstr>Door_Traffic</vt:lpstr>
      <vt:lpstr>Doors_Data2</vt:lpstr>
      <vt:lpstr>Doors_Information</vt:lpstr>
      <vt:lpstr>Duct_Rvalue</vt:lpstr>
      <vt:lpstr>Duct_Table</vt:lpstr>
      <vt:lpstr>Duct_Temp_Clg</vt:lpstr>
      <vt:lpstr>Duct_Temp_Htg</vt:lpstr>
      <vt:lpstr>Ducts</vt:lpstr>
      <vt:lpstr>Exposure</vt:lpstr>
      <vt:lpstr>Floors_20A</vt:lpstr>
      <vt:lpstr>Floors_20B</vt:lpstr>
      <vt:lpstr>Floors_21</vt:lpstr>
      <vt:lpstr>Floors_22</vt:lpstr>
      <vt:lpstr>Floors_Data2</vt:lpstr>
      <vt:lpstr>Floors_Information</vt:lpstr>
      <vt:lpstr>Frame_Construction</vt:lpstr>
      <vt:lpstr>Glass_Adj</vt:lpstr>
      <vt:lpstr>Glass_Data</vt:lpstr>
      <vt:lpstr>Glass_Data_2</vt:lpstr>
      <vt:lpstr>Glass_Direction</vt:lpstr>
      <vt:lpstr>Glass_Information</vt:lpstr>
      <vt:lpstr>Group_20B</vt:lpstr>
      <vt:lpstr>Hour_of_Day</vt:lpstr>
      <vt:lpstr>Infiltration_Information</vt:lpstr>
      <vt:lpstr>ISC</vt:lpstr>
      <vt:lpstr>Leakage_Rate</vt:lpstr>
      <vt:lpstr>Load_Type</vt:lpstr>
      <vt:lpstr>N1_Blower</vt:lpstr>
      <vt:lpstr>N1_Ceilings</vt:lpstr>
      <vt:lpstr>N1_Doors</vt:lpstr>
      <vt:lpstr>N1_Ducts</vt:lpstr>
      <vt:lpstr>N1_Floors</vt:lpstr>
      <vt:lpstr>N1_Glass</vt:lpstr>
      <vt:lpstr>N1_Infiltration</vt:lpstr>
      <vt:lpstr>N1_Internal</vt:lpstr>
      <vt:lpstr>N1_Skylights</vt:lpstr>
      <vt:lpstr>N1_Ventilation</vt:lpstr>
      <vt:lpstr>N1_Walls</vt:lpstr>
      <vt:lpstr>OH_Door</vt:lpstr>
      <vt:lpstr>Overhang_Adj</vt:lpstr>
      <vt:lpstr>Plants</vt:lpstr>
      <vt:lpstr>' Wrk H'!Print_Area</vt:lpstr>
      <vt:lpstr>' Wrk I'!Print_Area</vt:lpstr>
      <vt:lpstr>'Form N1'!Print_Area</vt:lpstr>
      <vt:lpstr>Welcome!Print_Area</vt:lpstr>
      <vt:lpstr>'Wrk C'!Print_Area</vt:lpstr>
      <vt:lpstr>RH</vt:lpstr>
      <vt:lpstr>RPM</vt:lpstr>
      <vt:lpstr>Skylight_Information</vt:lpstr>
      <vt:lpstr>Skylights_Data2</vt:lpstr>
      <vt:lpstr>state</vt:lpstr>
      <vt:lpstr>Story</vt:lpstr>
      <vt:lpstr>Sun_Screen</vt:lpstr>
      <vt:lpstr>Tightness</vt:lpstr>
      <vt:lpstr>TR</vt:lpstr>
      <vt:lpstr>Ventilation</vt:lpstr>
      <vt:lpstr>Ventilation_Information</vt:lpstr>
      <vt:lpstr>Walls_Data2</vt:lpstr>
      <vt:lpstr>Walls_Information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Kenny</cp:lastModifiedBy>
  <cp:lastPrinted>2008-12-15T19:45:31Z</cp:lastPrinted>
  <dcterms:created xsi:type="dcterms:W3CDTF">2007-04-28T15:02:46Z</dcterms:created>
  <dcterms:modified xsi:type="dcterms:W3CDTF">2018-06-21T16:56:11Z</dcterms:modified>
</cp:coreProperties>
</file>